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Y:\www\devel\htdocs\epa-visl\radionuclides\documents\"/>
    </mc:Choice>
  </mc:AlternateContent>
  <xr:revisionPtr revIDLastSave="0" documentId="13_ncr:1_{8646E2E9-F12E-4993-ACDE-5F692BB06A0F}" xr6:coauthVersionLast="45" xr6:coauthVersionMax="45" xr10:uidLastSave="{00000000-0000-0000-0000-000000000000}"/>
  <bookViews>
    <workbookView xWindow="-120" yWindow="-120" windowWidth="29040" windowHeight="17640" tabRatio="769" xr2:uid="{00000000-000D-0000-FFFF-FFFF00000000}"/>
  </bookViews>
  <sheets>
    <sheet name="Instructions" sheetId="20" r:id="rId1"/>
    <sheet name="isospec" sheetId="5" r:id="rId2"/>
    <sheet name="s_isospec" sheetId="17" r:id="rId3"/>
    <sheet name="up_isospec" sheetId="18" r:id="rId4"/>
    <sheet name="Aeq_Feq" sheetId="8" r:id="rId5"/>
    <sheet name="s_Aeq_Feq" sheetId="10" r:id="rId6"/>
    <sheet name="exp" sheetId="1" r:id="rId7"/>
    <sheet name="risk" sheetId="2" r:id="rId8"/>
    <sheet name="ss_risk" sheetId="13" r:id="rId9"/>
    <sheet name="up_risk" sheetId="3" r:id="rId10"/>
    <sheet name="dose" sheetId="6" r:id="rId11"/>
    <sheet name="ss_dose" sheetId="14" r:id="rId12"/>
    <sheet name="up_dose" sheetId="16" r:id="rId13"/>
    <sheet name="wl" sheetId="21" r:id="rId14"/>
    <sheet name="ss_wl" sheetId="22" r:id="rId15"/>
    <sheet name="up_wl" sheetId="23" r:id="rId16"/>
  </sheets>
  <externalReferences>
    <externalReference r:id="rId17"/>
  </externalReferences>
  <definedNames>
    <definedName name="_xlnm._FilterDatabase" localSheetId="4" hidden="1">Aeq_Feq!$A$1:$C$21</definedName>
    <definedName name="_xlnm._FilterDatabase" localSheetId="1" hidden="1">isospec!$A$1:$Q$26</definedName>
    <definedName name="_xlnm._FilterDatabase" localSheetId="5" hidden="1">s_Aeq_Feq!$A$1:$C$26</definedName>
    <definedName name="_xlnm._FilterDatabase" localSheetId="3" hidden="1">up_isospec!$A$1:$Q$21</definedName>
    <definedName name="A_wind">[1]d!$B$34</definedName>
    <definedName name="AAFres_a">exp!$B$21</definedName>
    <definedName name="AAFres_c">exp!$B$20</definedName>
    <definedName name="AFgw">exp!$B$23</definedName>
    <definedName name="AFss">exp!$B$24</definedName>
    <definedName name="As">[1]d!$B$33</definedName>
    <definedName name="B_wind">[1]d!$B$35</definedName>
    <definedName name="C_wind">[1]d!$B$36</definedName>
    <definedName name="CF_apple">[1]d!$N$2</definedName>
    <definedName name="CF_asparagus">[1]d!$N$3</definedName>
    <definedName name="CF_beet">[1]d!$N$4</definedName>
    <definedName name="CF_berries">[1]d!$N$5</definedName>
    <definedName name="CF_broccoli">[1]d!$N$6</definedName>
    <definedName name="CF_cabbage">[1]d!$N$7</definedName>
    <definedName name="CF_carrot">[1]d!$N$8</definedName>
    <definedName name="CF_cereal">[1]d!$N$24</definedName>
    <definedName name="CF_citrus">[1]d!$N$9</definedName>
    <definedName name="CF_corn">[1]d!$N$10</definedName>
    <definedName name="CF_cucumber">[1]d!$N$11</definedName>
    <definedName name="CF_far_beef">[1]d!$Q$2</definedName>
    <definedName name="CF_far_dairy">[1]d!$Q$3</definedName>
    <definedName name="CF_far_egg">[1]d!$Q$5</definedName>
    <definedName name="CF_far_fish">[1]d!$Q$6</definedName>
    <definedName name="CF_far_poultry">[1]d!$Q$4</definedName>
    <definedName name="CF_far_swine">[1]d!$Q$7</definedName>
    <definedName name="CF_fowl">[1]d!$H$38</definedName>
    <definedName name="CF_game">[1]d!$H$39</definedName>
    <definedName name="CF_lettuce">[1]d!$N$12</definedName>
    <definedName name="CF_lima_bean">[1]d!$N$13</definedName>
    <definedName name="CF_okra">[1]d!$N$14</definedName>
    <definedName name="CF_onion">[1]d!$N$15</definedName>
    <definedName name="CF_peach">[1]d!$N$16</definedName>
    <definedName name="CF_pear">[1]d!$N$17</definedName>
    <definedName name="CF_peas">[1]d!$N$18</definedName>
    <definedName name="CF_potato">[1]d!$N$19</definedName>
    <definedName name="CF_pumpkin">[1]d!$N$20</definedName>
    <definedName name="CF_res_fish">[1]d!$E$29</definedName>
    <definedName name="CF_rice">[1]d!$N$25</definedName>
    <definedName name="CF_snap_bean">[1]d!$N$21</definedName>
    <definedName name="CF_strawberry">[1]d!$N$22</definedName>
    <definedName name="CF_tomato">[1]d!$N$23</definedName>
    <definedName name="Cgw_219">exp!#REF!</definedName>
    <definedName name="Cgw_220">exp!#REF!</definedName>
    <definedName name="Cgw_222">exp!#REF!</definedName>
    <definedName name="Cia_219">exp!$B$31</definedName>
    <definedName name="Cia_220">exp!$B$32</definedName>
    <definedName name="Cia_222">exp!$B$33</definedName>
    <definedName name="Cia_sg_220">exp!$D$32</definedName>
    <definedName name="Cia_sg_222">exp!$D$33</definedName>
    <definedName name="Csg_219">exp!$B$37</definedName>
    <definedName name="Csg_220">exp!$B$38</definedName>
    <definedName name="Csg_222">exp!$B$39</definedName>
    <definedName name="D_milk">[1]d!$Q$43</definedName>
    <definedName name="DFA_far_adj">[1]d!$K$9</definedName>
    <definedName name="DFA_rec_adj">[1]d!$H$9</definedName>
    <definedName name="DFA_res_adj">[1]d!$E$9</definedName>
    <definedName name="DL">exp!$B$3</definedName>
    <definedName name="ED_far">[1]d!$K$4</definedName>
    <definedName name="ED_far_a">[1]d!$K$3</definedName>
    <definedName name="ED_far_c">[1]d!$K$2</definedName>
    <definedName name="ED_rec">[1]d!$H$4</definedName>
    <definedName name="ED_rec_a">[1]d!$H$3</definedName>
    <definedName name="ED_rec_c">[1]d!$H$2</definedName>
    <definedName name="ED_res">[1]d!$E$4</definedName>
    <definedName name="ED_res_a">[1]d!$E$3</definedName>
    <definedName name="ED_res_c">[1]d!$E$2</definedName>
    <definedName name="EDres">exp!$B$9</definedName>
    <definedName name="EDres_a">exp!$B$8</definedName>
    <definedName name="EDres_c">exp!$B$7</definedName>
    <definedName name="EDw">exp!$B$28</definedName>
    <definedName name="EF_far">[1]d!$K$18</definedName>
    <definedName name="EF_far_a">[1]d!$K$17</definedName>
    <definedName name="EF_far_c">[1]d!$K$16</definedName>
    <definedName name="EF_rec">[1]d!$H$20</definedName>
    <definedName name="EF_rec_a">[1]d!$H$19</definedName>
    <definedName name="EF_rec_c">[1]d!$H$18</definedName>
    <definedName name="EF_res">[1]d!$E$19</definedName>
    <definedName name="EF_res_a">[1]d!$E$18</definedName>
    <definedName name="EF_res_c">[1]d!$E$17</definedName>
    <definedName name="EFres">exp!$B$12</definedName>
    <definedName name="EFres_a">exp!$B$11</definedName>
    <definedName name="EFres_c">exp!$B$10</definedName>
    <definedName name="EFw">exp!$B$27</definedName>
    <definedName name="ET_event_far_a">[1]d!$K$23</definedName>
    <definedName name="ET_event_far_c">[1]d!$K$22</definedName>
    <definedName name="ET_event_rec_a">[1]d!$H$25</definedName>
    <definedName name="ET_event_rec_c">[1]d!$H$24</definedName>
    <definedName name="ET_event_res_a">[1]d!$E$21</definedName>
    <definedName name="ET_event_res_c">[1]d!$E$20</definedName>
    <definedName name="ET_far">[1]d!$K$21</definedName>
    <definedName name="ET_far_a">[1]d!$K$20</definedName>
    <definedName name="ET_far_c">[1]d!$K$19</definedName>
    <definedName name="ET_far_i">[1]d!$K$25</definedName>
    <definedName name="ET_far_o">[1]d!$K$24</definedName>
    <definedName name="ET_rec">[1]d!$H$21</definedName>
    <definedName name="ET_rec_a">[1]d!$H$23</definedName>
    <definedName name="ET_rec_c">[1]d!$H$22</definedName>
    <definedName name="ET_res">[1]d!$E$24</definedName>
    <definedName name="ET_res_a">[1]d!$E$23</definedName>
    <definedName name="ET_res_c">[1]d!$E$22</definedName>
    <definedName name="ET_res_i">[1]d!$E$28</definedName>
    <definedName name="ET_res_o">[1]d!$E$27</definedName>
    <definedName name="ETres">exp!$B$15</definedName>
    <definedName name="ETres_a">exp!$B$14</definedName>
    <definedName name="ETres_c">exp!$B$13</definedName>
    <definedName name="ETw">exp!$B$29</definedName>
    <definedName name="EV_far_a">[1]d!$K$27</definedName>
    <definedName name="EV_far_c">[1]d!$K$26</definedName>
    <definedName name="EV_rec_a">[1]d!$H$27</definedName>
    <definedName name="EV_rec_c">[1]d!$H$26</definedName>
    <definedName name="EV_res_a">[1]d!$E$26</definedName>
    <definedName name="EV_res_c">[1]d!$E$25</definedName>
    <definedName name="F">[1]d!$B$9</definedName>
    <definedName name="f_p_beef">[1]d!$Q$51</definedName>
    <definedName name="f_p_dairy">[1]d!$Q$46</definedName>
    <definedName name="f_p_fowl">[1]d!$H$30</definedName>
    <definedName name="f_p_game">[1]d!$H$35</definedName>
    <definedName name="f_p_poultry">[1]d!$Q$61</definedName>
    <definedName name="f_p_swine">[1]d!$Q$66</definedName>
    <definedName name="f_s_beef">[1]d!$Q$52</definedName>
    <definedName name="f_s_dairy">[1]d!$Q$47</definedName>
    <definedName name="f_s_fowl">[1]d!$H$31</definedName>
    <definedName name="f_s_game">[1]d!$H$36</definedName>
    <definedName name="f_s_poultry">[1]d!$Q$62</definedName>
    <definedName name="f_s_swine">[1]d!$Q$67</definedName>
    <definedName name="F_x">[1]d!$B$30</definedName>
    <definedName name="GSF_a">[1]d!$B$4</definedName>
    <definedName name="GSF_o">[1]d!$B$6</definedName>
    <definedName name="GSFa">exp!$B$22</definedName>
    <definedName name="I_f">[1]d!$B$12</definedName>
    <definedName name="IFA_far_adj">[1]d!$K$8</definedName>
    <definedName name="IFA_rec_adj">[1]d!$H$8</definedName>
    <definedName name="IFA_res_adj">[1]d!$E$8</definedName>
    <definedName name="IFAP_far_adj">[1]d!$N$28</definedName>
    <definedName name="IFAP_res_adj">[1]d!$E$32</definedName>
    <definedName name="IFAres_adj">exp!$B$18</definedName>
    <definedName name="IFAres_adj_d">exp!$B$19</definedName>
    <definedName name="IFAS_far_adj">[1]d!$N$31</definedName>
    <definedName name="IFAS_res_adj">[1]d!$E$35</definedName>
    <definedName name="IFB_far_adj">[1]d!$Q$14</definedName>
    <definedName name="IFBE_far_adj">[1]d!$N$37</definedName>
    <definedName name="IFBE_res_adj">[1]d!$E$41</definedName>
    <definedName name="IFBR_far_adj">[1]d!$N$40</definedName>
    <definedName name="IFBR_res_adj">[1]d!$E$44</definedName>
    <definedName name="IFBT_far_adj">[1]d!$N$34</definedName>
    <definedName name="IFBT_res_adj">[1]d!$E$38</definedName>
    <definedName name="IFCB_far_adj">[1]d!$N$43</definedName>
    <definedName name="IFCB_res_adj">[1]d!$E$47</definedName>
    <definedName name="IFCG_far_adj">[1]d!$N$49</definedName>
    <definedName name="IFCG_res_adj">[1]d!$E$53</definedName>
    <definedName name="IFCI_far_adj">[1]d!$N$52</definedName>
    <definedName name="IFCI_res_adj">[1]d!$E$56</definedName>
    <definedName name="IFCO_far_adj">[1]d!$N$55</definedName>
    <definedName name="IFCO_res_adj">[1]d!$E$59</definedName>
    <definedName name="IFCR_far_adj">[1]d!$N$46</definedName>
    <definedName name="IFCR_res_adj">[1]d!$E$50</definedName>
    <definedName name="IFCU_far_adj">[1]d!$N$58</definedName>
    <definedName name="IFCU_res_adj">[1]d!$E$62</definedName>
    <definedName name="IFD_far_adj">[1]d!$Q$17</definedName>
    <definedName name="IFE_far_adj">[1]d!$Q$20</definedName>
    <definedName name="IFFI_far_adj">[1]d!$Q$26</definedName>
    <definedName name="IFLE_far_adj">[1]d!$N$61</definedName>
    <definedName name="IFLE_res_adj">[1]d!$E$65</definedName>
    <definedName name="IFLI_far_adj">[1]d!$N$64</definedName>
    <definedName name="IFLI_res_adj">[1]d!$E$68</definedName>
    <definedName name="IFOK_far_adj">[1]d!$N$67</definedName>
    <definedName name="IFOK_res_adj">[1]d!$E$71</definedName>
    <definedName name="IFON_far_adj">[1]d!$N$70</definedName>
    <definedName name="IFON_res_adj">[1]d!$E$74</definedName>
    <definedName name="IFP_far_adj">[1]d!$Q$23</definedName>
    <definedName name="IFPC_far_adj">[1]d!$N$73</definedName>
    <definedName name="IFPC_res_adj">[1]d!$E$77</definedName>
    <definedName name="IFPE_far_adj">[1]d!$N$79</definedName>
    <definedName name="IFPE_res_adj">[1]d!$E$83</definedName>
    <definedName name="IFPR_far_adj">[1]d!$N$76</definedName>
    <definedName name="IFPR_res_adj">[1]d!$E$80</definedName>
    <definedName name="IFPT_far_adj">[1]d!$N$82</definedName>
    <definedName name="IFPT_res_adj">[1]d!$E$86</definedName>
    <definedName name="IFPU_far_adj">[1]d!$N$85</definedName>
    <definedName name="IFPU_res_adj">[1]d!$E$89</definedName>
    <definedName name="IFRI_far_adj">[1]d!$N$88</definedName>
    <definedName name="IFRI_res_adj">[1]d!$E$92</definedName>
    <definedName name="IFS_far_adj">[1]d!$K$12</definedName>
    <definedName name="IFS_rec_adj">[1]d!$H$12</definedName>
    <definedName name="IFS_res_adj">[1]d!$E$12</definedName>
    <definedName name="IFSN_far_adj">[1]d!$N$91</definedName>
    <definedName name="IFSN_res_adj">[1]d!$E$95</definedName>
    <definedName name="IFST_far_adj">[1]d!$N$94</definedName>
    <definedName name="IFST_res_adj">[1]d!$E$98</definedName>
    <definedName name="IFSW_far_adj">[1]d!$Q$29</definedName>
    <definedName name="IFTO_far_adj">[1]d!$N$97</definedName>
    <definedName name="IFTO_res_adj">[1]d!$E$101</definedName>
    <definedName name="IFW_far_adj">[1]d!$K$15</definedName>
    <definedName name="IFW_rec_adj">[1]d!$H$15</definedName>
    <definedName name="IFW_res_adj">[1]d!$E$15</definedName>
    <definedName name="Ir">[1]d!$B$8</definedName>
    <definedName name="IRA_far_a">[1]d!$K$7</definedName>
    <definedName name="IRA_far_c">[1]d!$K$6</definedName>
    <definedName name="IRA_rec_a">[1]d!$H$7</definedName>
    <definedName name="IRA_rec_c">[1]d!$H$6</definedName>
    <definedName name="IRA_res_a">[1]d!$E$7</definedName>
    <definedName name="IRA_res_c">[1]d!$E$6</definedName>
    <definedName name="IRAP_far_a">[1]d!$N$27</definedName>
    <definedName name="IRAP_far_c">[1]d!$N$26</definedName>
    <definedName name="IRAP_res_a">[1]d!$E$31</definedName>
    <definedName name="IRAP_res_c">[1]d!$E$30</definedName>
    <definedName name="IRAres_a">exp!$B$17</definedName>
    <definedName name="IRAres_c">exp!$B$16</definedName>
    <definedName name="IRAS_far_a">[1]d!$N$30</definedName>
    <definedName name="IRAS_far_c">[1]d!$N$29</definedName>
    <definedName name="IRAS_res_a">[1]d!$E$34</definedName>
    <definedName name="IRAS_res_c">[1]d!$E$33</definedName>
    <definedName name="IRAw">exp!$B$30</definedName>
    <definedName name="IRB_far_a">[1]d!$Q$13</definedName>
    <definedName name="IRB_far_c">[1]d!$Q$12</definedName>
    <definedName name="IRBE_far_a">[1]d!$N$36</definedName>
    <definedName name="IRBE_far_c">[1]d!$N$35</definedName>
    <definedName name="IRBE_res_a">[1]d!$E$40</definedName>
    <definedName name="IRBE_res_c">[1]d!$E$39</definedName>
    <definedName name="IRBR_far_a">[1]d!$N$39</definedName>
    <definedName name="IRBR_far_c">[1]d!$N$38</definedName>
    <definedName name="IRBR_res_a">[1]d!$E$43</definedName>
    <definedName name="IRBR_res_c">[1]d!$E$42</definedName>
    <definedName name="IRBT_far_a">[1]d!$N$33</definedName>
    <definedName name="IRBT_far_c">[1]d!$N$32</definedName>
    <definedName name="IRBT_res_a">[1]d!$E$37</definedName>
    <definedName name="IRBT_res_c">[1]d!$E$36</definedName>
    <definedName name="IRCB_far_a">[1]d!$N$42</definedName>
    <definedName name="IRCB_far_c">[1]d!$N$41</definedName>
    <definedName name="IRCB_res_a">[1]d!$E$46</definedName>
    <definedName name="IRCB_res_c">[1]d!$E$45</definedName>
    <definedName name="IRCG_far_a">[1]d!$N$48</definedName>
    <definedName name="IRCG_far_c">[1]d!$N$47</definedName>
    <definedName name="IRCG_res_a">[1]d!$E$52</definedName>
    <definedName name="IRCG_res_c">[1]d!$E$51</definedName>
    <definedName name="IRCI_far_a">[1]d!$N$51</definedName>
    <definedName name="IRCI_far_c">[1]d!$N$50</definedName>
    <definedName name="IRCI_res_a">[1]d!$E$55</definedName>
    <definedName name="IRCI_res_c">[1]d!$E$54</definedName>
    <definedName name="IRCO_far_a">[1]d!$N$54</definedName>
    <definedName name="IRCO_far_c">[1]d!$N$53</definedName>
    <definedName name="IRCO_res_a">[1]d!$E$58</definedName>
    <definedName name="IRCO_res_c">[1]d!$E$57</definedName>
    <definedName name="IRCR_far_a">[1]d!$N$45</definedName>
    <definedName name="IRCR_far_c">[1]d!$N$44</definedName>
    <definedName name="IRCR_res_a">[1]d!$E$49</definedName>
    <definedName name="IRCR_res_c">[1]d!$E$48</definedName>
    <definedName name="IRCU_far_a">[1]d!$N$57</definedName>
    <definedName name="IRCU_far_c">[1]d!$N$56</definedName>
    <definedName name="IRCU_res_a">[1]d!$E$61</definedName>
    <definedName name="IRCU_res_c">[1]d!$E$60</definedName>
    <definedName name="IRD_far_a">[1]d!$Q$16</definedName>
    <definedName name="IRD_far_c">[1]d!$Q$15</definedName>
    <definedName name="IRE_far_a">[1]d!$Q$19</definedName>
    <definedName name="IRE_far_c">[1]d!$Q$18</definedName>
    <definedName name="IRF_res">[1]d!$E$16</definedName>
    <definedName name="IRFI_far_a">[1]d!$Q$25</definedName>
    <definedName name="IRFI_far_c">[1]d!$Q$24</definedName>
    <definedName name="IRGF_rec">[1]d!$H$17</definedName>
    <definedName name="IRGL_rec">[1]d!$H$16</definedName>
    <definedName name="IRGM_far_a">[1]d!$Q$40</definedName>
    <definedName name="IRGM_far_c">[1]d!$Q$39</definedName>
    <definedName name="IRGO_far_a">[1]d!$Q$34</definedName>
    <definedName name="IRGO_far_c">[1]d!$Q$33</definedName>
    <definedName name="IRLE_far_a">[1]d!$N$60</definedName>
    <definedName name="IRLE_far_c">[1]d!$N$59</definedName>
    <definedName name="IRLE_res_a">[1]d!$E$64</definedName>
    <definedName name="IRLE_res_c">[1]d!$E$63</definedName>
    <definedName name="IRLI_far_a">[1]d!$N$63</definedName>
    <definedName name="IRLI_far_c">[1]d!$N$62</definedName>
    <definedName name="IRLI_res_a">[1]d!$E$67</definedName>
    <definedName name="IRLI_res_c">[1]d!$E$66</definedName>
    <definedName name="IROK_far_a">[1]d!$N$66</definedName>
    <definedName name="IROK_far_c">[1]d!$N$65</definedName>
    <definedName name="IROK_res_a">[1]d!$E$70</definedName>
    <definedName name="IROK_res_c">[1]d!$E$69</definedName>
    <definedName name="IRON_far_a">[1]d!$N$69</definedName>
    <definedName name="IRON_far_c">[1]d!$N$68</definedName>
    <definedName name="IRON_res_a">[1]d!$E$73</definedName>
    <definedName name="IRON_res_c">[1]d!$E$72</definedName>
    <definedName name="IRP_far_a">[1]d!$Q$22</definedName>
    <definedName name="IRP_far_c">[1]d!$Q$21</definedName>
    <definedName name="IRPC_far_a">[1]d!$N$72</definedName>
    <definedName name="IRPC_far_c">[1]d!$N$71</definedName>
    <definedName name="IRPC_res_a">[1]d!$E$76</definedName>
    <definedName name="IRPC_res_c">[1]d!$E$75</definedName>
    <definedName name="IRPE_far_a">[1]d!$N$78</definedName>
    <definedName name="IRPE_far_c">[1]d!$N$77</definedName>
    <definedName name="IRPE_res_a">[1]d!$E$82</definedName>
    <definedName name="IRPE_res_c">[1]d!$E$81</definedName>
    <definedName name="IRPR_far_a">[1]d!$N$75</definedName>
    <definedName name="IRPR_far_c">[1]d!$N$74</definedName>
    <definedName name="IRPR_res_a">[1]d!$E$79</definedName>
    <definedName name="IRPR_res_c">[1]d!$E$78</definedName>
    <definedName name="IRPT_far_a">[1]d!$N$81</definedName>
    <definedName name="IRPT_far_c">[1]d!$N$80</definedName>
    <definedName name="IRPT_res_a">[1]d!$E$85</definedName>
    <definedName name="IRPT_res_c">[1]d!$E$84</definedName>
    <definedName name="IRPU_far_a">[1]d!$N$84</definedName>
    <definedName name="IRPU_far_c">[1]d!$N$83</definedName>
    <definedName name="IRPU_res_a">[1]d!$E$88</definedName>
    <definedName name="IRPU_res_c">[1]d!$E$87</definedName>
    <definedName name="IRRI_far_a">[1]d!$N$87</definedName>
    <definedName name="IRRI_far_c">[1]d!$N$86</definedName>
    <definedName name="IRRI_res_a">[1]d!$E$91</definedName>
    <definedName name="IRRI_res_c">[1]d!$E$90</definedName>
    <definedName name="IRS_far_a">[1]d!$K$11</definedName>
    <definedName name="IRS_far_c">[1]d!$K$10</definedName>
    <definedName name="IRS_rec_a">[1]d!$H$11</definedName>
    <definedName name="IRS_rec_c">[1]d!$H$10</definedName>
    <definedName name="IRS_res_a">[1]d!$E$11</definedName>
    <definedName name="IRS_res_c">[1]d!$E$10</definedName>
    <definedName name="IRSH_far_a">[1]d!$Q$31</definedName>
    <definedName name="IRSH_far_c">[1]d!$Q$30</definedName>
    <definedName name="IRSM_far_a">[1]d!$Q$37</definedName>
    <definedName name="IRSM_far_c">[1]d!$Q$36</definedName>
    <definedName name="IRSN_far_a">[1]d!$N$90</definedName>
    <definedName name="IRSN_far_c">[1]d!$N$89</definedName>
    <definedName name="IRSN_res_a">[1]d!$E$94</definedName>
    <definedName name="IRSN_res_c">[1]d!$E$93</definedName>
    <definedName name="IRST_far_a">[1]d!$N$93</definedName>
    <definedName name="IRST_far_c">[1]d!$N$92</definedName>
    <definedName name="IRST_res_a">[1]d!$E$97</definedName>
    <definedName name="IRST_res_c">[1]d!$E$96</definedName>
    <definedName name="IRSW_far_a">[1]d!$Q$28</definedName>
    <definedName name="IRSW_far_c">[1]d!$Q$27</definedName>
    <definedName name="IRTO_far_a">[1]d!$N$96</definedName>
    <definedName name="IRTO_far_c">[1]d!$N$95</definedName>
    <definedName name="IRTO_res_a">[1]d!$E$100</definedName>
    <definedName name="IRTO_res_c">[1]d!$E$99</definedName>
    <definedName name="IRW_far_a">[1]d!$K$14</definedName>
    <definedName name="IRW_far_c">[1]d!$K$13</definedName>
    <definedName name="IRW_rec_a">[1]d!$H$14</definedName>
    <definedName name="IRW_rec_c">[1]d!$H$13</definedName>
    <definedName name="IRW_res_a">[1]d!$E$14</definedName>
    <definedName name="IRW_res_c">[1]d!$E$13</definedName>
    <definedName name="K">[1]d!$B$3</definedName>
    <definedName name="lambda_HL">[1]d!$B$7</definedName>
    <definedName name="MLF_apple">[1]d!$K$30</definedName>
    <definedName name="MLF_asparagus">[1]d!$K$31</definedName>
    <definedName name="MLF_beet">[1]d!$K$32</definedName>
    <definedName name="MLF_berries">[1]d!$K$33</definedName>
    <definedName name="MLF_broccoli">[1]d!$K$34</definedName>
    <definedName name="MLF_cabbage">[1]d!$K$35</definedName>
    <definedName name="MLF_carrot">[1]d!$K$36</definedName>
    <definedName name="MLF_cereal">[1]d!$K$52</definedName>
    <definedName name="MLF_citrus">[1]d!$K$37</definedName>
    <definedName name="MLF_corn">[1]d!$K$38</definedName>
    <definedName name="MLF_cucumber">[1]d!$K$39</definedName>
    <definedName name="MLF_lettuce">[1]d!$K$40</definedName>
    <definedName name="MLF_lima_bean">[1]d!$K$41</definedName>
    <definedName name="MLF_okra">[1]d!$K$42</definedName>
    <definedName name="MLF_onion">[1]d!$K$43</definedName>
    <definedName name="MLF_pasture">[1]d!$Q$68</definedName>
    <definedName name="MLF_peach">[1]d!$K$44</definedName>
    <definedName name="MLF_pear">[1]d!$K$45</definedName>
    <definedName name="MLF_peas">[1]d!$K$46</definedName>
    <definedName name="MLF_potato">[1]d!$K$47</definedName>
    <definedName name="MLF_pumpkin">[1]d!$K$48</definedName>
    <definedName name="MLF_rice">[1]d!$K$53</definedName>
    <definedName name="MLF_snap_bean">[1]d!$K$49</definedName>
    <definedName name="MLF_strawberry">[1]d!$K$50</definedName>
    <definedName name="MLF_tomato">[1]d!$K$51</definedName>
    <definedName name="P">[1]d!$B$11</definedName>
    <definedName name="PEF_wind">[1]d!$B$27</definedName>
    <definedName name="Q_C_wind">[1]d!$B$32</definedName>
    <definedName name="Q_p_beef">[1]d!$Q$49</definedName>
    <definedName name="Q_p_dairy">[1]d!$Q$44</definedName>
    <definedName name="Q_p_fowl">[1]d!$H$28</definedName>
    <definedName name="Q_p_game">[1]d!$H$33</definedName>
    <definedName name="Q_p_poultry">[1]d!$Q$59</definedName>
    <definedName name="Q_p_swine">[1]d!$Q$64</definedName>
    <definedName name="Q_s_beef">[1]d!$Q$50</definedName>
    <definedName name="Q_s_dairy">[1]d!$Q$45</definedName>
    <definedName name="Q_s_fowl">[1]d!$H$29</definedName>
    <definedName name="Q_s_game">[1]d!$H$34</definedName>
    <definedName name="Q_s_poultry">[1]d!$Q$60</definedName>
    <definedName name="Q_s_swine">[1]d!$Q$65</definedName>
    <definedName name="Q_w_beef">[1]d!$Q$48</definedName>
    <definedName name="Q_w_dairy">[1]d!$Q$42</definedName>
    <definedName name="Q_w_fowl">[1]d!$H$32</definedName>
    <definedName name="Q_w_game">[1]d!$H$37</definedName>
    <definedName name="Q_w_poultry">[1]d!$Q$58</definedName>
    <definedName name="Q_w_swine">[1]d!$Q$63</definedName>
    <definedName name="R_es_past">[1]d!$Q$69</definedName>
    <definedName name="s_A_wind">[1]ss!$B$34</definedName>
    <definedName name="s_AAFres_a">exp!$E$21</definedName>
    <definedName name="s_AAFres_c">exp!$E$20</definedName>
    <definedName name="s_AFgw">exp!$E$23</definedName>
    <definedName name="s_AFss">exp!$E$24</definedName>
    <definedName name="s_As">[1]ss!$B$33</definedName>
    <definedName name="s_B_wind">[1]ss!$B$35</definedName>
    <definedName name="s_C">[1]ss!$B$38</definedName>
    <definedName name="s_C_wind">[1]ss!$B$36</definedName>
    <definedName name="s_CF_apple">[1]ss!$N$2</definedName>
    <definedName name="s_CF_asparagus">[1]ss!$N$3</definedName>
    <definedName name="s_CF_beet">[1]ss!$N$4</definedName>
    <definedName name="s_CF_berries">[1]ss!$N$5</definedName>
    <definedName name="s_CF_broccoli">[1]ss!$N$6</definedName>
    <definedName name="s_CF_cabbage">[1]ss!$N$7</definedName>
    <definedName name="s_CF_carrot">[1]ss!$N$8</definedName>
    <definedName name="s_CF_cereal">[1]ss!$N$24</definedName>
    <definedName name="s_CF_citrus">[1]ss!$N$9</definedName>
    <definedName name="s_CF_corn">[1]ss!$N$10</definedName>
    <definedName name="s_CF_cucumber">[1]ss!$N$11</definedName>
    <definedName name="s_CF_far_beef">[1]ss!$Q$2</definedName>
    <definedName name="s_CF_far_dairy">[1]ss!$Q$3</definedName>
    <definedName name="s_CF_far_egg">[1]ss!$Q$5</definedName>
    <definedName name="s_CF_far_fish">[1]ss!$Q$6</definedName>
    <definedName name="s_CF_far_goat">[1]ss!$Q$9</definedName>
    <definedName name="s_CF_far_goat_milk">[1]ss!$Q$11</definedName>
    <definedName name="s_CF_far_poultry">[1]ss!$Q$4</definedName>
    <definedName name="s_CF_far_sheep">[1]ss!$Q$8</definedName>
    <definedName name="s_CF_far_sheep_milk">[1]ss!$Q$10</definedName>
    <definedName name="s_CF_far_swine">[1]ss!$Q$7</definedName>
    <definedName name="s_CF_fowl">[1]ss!$H$38</definedName>
    <definedName name="s_CF_game">[1]ss!$H$39</definedName>
    <definedName name="s_CF_lettuce">[1]ss!$N$12</definedName>
    <definedName name="s_CF_lima_bean">[1]ss!$N$13</definedName>
    <definedName name="s_CF_okra">[1]ss!$N$14</definedName>
    <definedName name="s_CF_onion">[1]ss!$N$15</definedName>
    <definedName name="s_CF_peach">[1]ss!$N$16</definedName>
    <definedName name="s_CF_pear">[1]ss!$N$17</definedName>
    <definedName name="s_CF_peas">[1]ss!$N$18</definedName>
    <definedName name="s_CF_potato">[1]ss!$N$19</definedName>
    <definedName name="s_CF_pumpkin">[1]ss!$N$20</definedName>
    <definedName name="s_CF_res_fish">[1]ss!$E$29</definedName>
    <definedName name="s_CF_rice">[1]ss!$N$25</definedName>
    <definedName name="s_CF_snap_bean">[1]ss!$N$21</definedName>
    <definedName name="s_CF_strawberry">[1]ss!$N$22</definedName>
    <definedName name="s_CF_tomato">[1]ss!$N$23</definedName>
    <definedName name="s_Cgw_219">exp!#REF!</definedName>
    <definedName name="s_Cgw_220">exp!#REF!</definedName>
    <definedName name="s_Cgw_222">exp!#REF!</definedName>
    <definedName name="s_Cia_219">exp!$E$31</definedName>
    <definedName name="s_Cia_220">exp!$E$32</definedName>
    <definedName name="s_Cia_222">exp!$E$33</definedName>
    <definedName name="s_Csg_219">exp!$E$37</definedName>
    <definedName name="s_Csg_220">exp!$E$38</definedName>
    <definedName name="s_Csg_222">exp!$E$39</definedName>
    <definedName name="s_d_a">[1]ss!$B$24</definedName>
    <definedName name="s_D_milk">[1]ss!$Q$43</definedName>
    <definedName name="s_d_s">[1]ss!$B$25</definedName>
    <definedName name="s_DFA_far_adj">[1]ss!$K$9</definedName>
    <definedName name="s_DFA_rec_adj">[1]ss!$H$9</definedName>
    <definedName name="s_DFA_res_adj">[1]ss!$E$9</definedName>
    <definedName name="s_DL">exp!$E$3</definedName>
    <definedName name="s_dm">[1]ss!$B$26</definedName>
    <definedName name="s_ED_far">[1]ss!$K$4</definedName>
    <definedName name="s_ED_far_a">[1]ss!$K$3</definedName>
    <definedName name="s_ED_far_c">[1]ss!$K$2</definedName>
    <definedName name="s_ED_rec">[1]ss!$H$4</definedName>
    <definedName name="s_ED_rec_a">[1]ss!$H$3</definedName>
    <definedName name="s_ED_rec_c">[1]ss!$H$2</definedName>
    <definedName name="s_ED_res">[1]ss!$E$4</definedName>
    <definedName name="s_ED_res_a">[1]ss!$E$3</definedName>
    <definedName name="s_ED_res_c">[1]ss!$E$2</definedName>
    <definedName name="s_ED_s2gw">[1]ss!$B$19</definedName>
    <definedName name="s_EDres">exp!$E$9</definedName>
    <definedName name="s_EDres_a">exp!$E$8</definedName>
    <definedName name="s_EDres_c">exp!$E$7</definedName>
    <definedName name="s_EDw">exp!$E$28</definedName>
    <definedName name="s_EF_far">[1]ss!$K$18</definedName>
    <definedName name="s_EF_far_a">[1]ss!$K$17</definedName>
    <definedName name="s_EF_far_c">[1]ss!$K$16</definedName>
    <definedName name="s_EF_rec">[1]ss!$H$20</definedName>
    <definedName name="s_EF_rec_a">[1]ss!$H$19</definedName>
    <definedName name="s_EF_rec_c">[1]ss!$H$18</definedName>
    <definedName name="s_EF_res">[1]ss!$E$19</definedName>
    <definedName name="s_EF_res_a">[1]ss!$E$18</definedName>
    <definedName name="s_EF_res_c">[1]ss!$E$17</definedName>
    <definedName name="s_EFres">exp!$E$12</definedName>
    <definedName name="s_EFres_a">exp!$E$11</definedName>
    <definedName name="s_EFres_c">exp!$E$10</definedName>
    <definedName name="s_EFw">exp!$E$27</definedName>
    <definedName name="s_ET_event_far_a">[1]ss!$K$23</definedName>
    <definedName name="s_ET_event_far_c">[1]ss!$K$22</definedName>
    <definedName name="s_ET_event_rec_a">[1]ss!$H$25</definedName>
    <definedName name="s_ET_event_rec_c">[1]ss!$H$24</definedName>
    <definedName name="s_ET_event_res_a">[1]ss!$E$21</definedName>
    <definedName name="s_ET_event_res_c">[1]ss!$E$20</definedName>
    <definedName name="s_ET_far">[1]ss!$K$21</definedName>
    <definedName name="s_ET_far_a">[1]ss!$K$20</definedName>
    <definedName name="s_ET_far_c">[1]ss!$K$19</definedName>
    <definedName name="s_ET_far_i">[1]ss!$K$25</definedName>
    <definedName name="s_ET_far_o">[1]ss!$K$24</definedName>
    <definedName name="s_ET_rec">[1]ss!$H$21</definedName>
    <definedName name="s_ET_rec_a">[1]ss!$H$23</definedName>
    <definedName name="s_ET_rec_c">[1]ss!$H$22</definedName>
    <definedName name="s_ET_res">[1]ss!$E$24</definedName>
    <definedName name="s_ET_res_a">[1]ss!$E$23</definedName>
    <definedName name="s_ET_res_c">[1]ss!$E$22</definedName>
    <definedName name="s_ET_res_i">[1]ss!$E$28</definedName>
    <definedName name="s_ET_res_o">[1]ss!$E$27</definedName>
    <definedName name="s_ETres">exp!$E$15</definedName>
    <definedName name="s_ETres_a">exp!$E$14</definedName>
    <definedName name="s_ETres_c">exp!$E$13</definedName>
    <definedName name="s_ETw">exp!$E$29</definedName>
    <definedName name="s_EV_far_a">[1]ss!$K$27</definedName>
    <definedName name="s_EV_far_c">[1]ss!$K$26</definedName>
    <definedName name="s_EV_rec_a">[1]ss!$H$27</definedName>
    <definedName name="s_EV_rec_c">[1]ss!$H$26</definedName>
    <definedName name="s_EV_res_a">[1]ss!$E$26</definedName>
    <definedName name="s_EV_res_c">[1]ss!$E$25</definedName>
    <definedName name="s_F">[1]ss!$B$9</definedName>
    <definedName name="s_f_p_beef">[1]ss!$Q$51</definedName>
    <definedName name="s_f_p_dairy">[1]ss!$Q$46</definedName>
    <definedName name="s_f_p_egg">[1]ss!$Q$56</definedName>
    <definedName name="s_f_p_fowl">[1]ss!$H$30</definedName>
    <definedName name="s_f_p_game">[1]ss!$H$35</definedName>
    <definedName name="s_f_p_goat">[1]ss!$Q$78</definedName>
    <definedName name="s_f_p_goat_milk">[1]ss!$Q$83</definedName>
    <definedName name="s_f_p_poultry">[1]ss!$Q$61</definedName>
    <definedName name="s_f_p_sheep">[1]ss!$Q$73</definedName>
    <definedName name="s_f_p_sheep_milk">[1]ss!$Q$88</definedName>
    <definedName name="s_f_p_swine">[1]ss!$Q$66</definedName>
    <definedName name="s_f_s_beef">[1]ss!$Q$52</definedName>
    <definedName name="s_f_s_dairy">[1]ss!$Q$47</definedName>
    <definedName name="s_f_s_egg">[1]ss!$Q$57</definedName>
    <definedName name="s_f_s_fowl">[1]ss!$H$31</definedName>
    <definedName name="s_f_s_game">[1]ss!$H$36</definedName>
    <definedName name="s_f_s_goat">[1]ss!$Q$79</definedName>
    <definedName name="s_f_s_goat_milk">[1]ss!$Q$84</definedName>
    <definedName name="s_f_s_poultry">[1]ss!$Q$62</definedName>
    <definedName name="s_f_s_sheep">[1]ss!$Q$74</definedName>
    <definedName name="s_f_s_sheep_milk">[1]ss!$Q$89</definedName>
    <definedName name="s_f_s_swine">[1]ss!$Q$67</definedName>
    <definedName name="s_F_x">[1]ss!$B$30</definedName>
    <definedName name="s_GSF_a">[1]ss!$B$4</definedName>
    <definedName name="s_GSF_o">[1]ss!$B$6</definedName>
    <definedName name="s_GSFa">exp!$E$22</definedName>
    <definedName name="s_I_f">[1]ss!$B$12</definedName>
    <definedName name="s_i_s2gw">[1]ss!$B$21</definedName>
    <definedName name="s_IFA_far_adj">[1]ss!$K$8</definedName>
    <definedName name="s_IFA_rec_adj">[1]ss!$H$8</definedName>
    <definedName name="s_IFA_res_adj">[1]ss!$E$8</definedName>
    <definedName name="s_IFAP_far_adj">[1]ss!$N$28</definedName>
    <definedName name="s_IFAP_res_adj">[1]ss!$E$32</definedName>
    <definedName name="s_IFAres_adj">exp!$E$18</definedName>
    <definedName name="s_IFAres_adj_d">exp!$E$19</definedName>
    <definedName name="s_IFAS_far_adj">[1]ss!$N$31</definedName>
    <definedName name="s_IFAS_res_adj">[1]ss!$E$35</definedName>
    <definedName name="s_IFB_far_adj">[1]ss!$Q$14</definedName>
    <definedName name="s_IFBE_far_adj">[1]ss!$N$37</definedName>
    <definedName name="s_IFBE_res_adj">[1]ss!$E$41</definedName>
    <definedName name="s_IFBR_far_adj">[1]ss!$N$40</definedName>
    <definedName name="s_IFBR_res_adj">[1]ss!$E$44</definedName>
    <definedName name="s_IFBT_far_adj">[1]ss!$N$34</definedName>
    <definedName name="s_IFBT_res_adj">[1]ss!$E$38</definedName>
    <definedName name="s_IFCB_far_adj">[1]ss!$N$43</definedName>
    <definedName name="s_IFCB_res_adj">[1]ss!$E$47</definedName>
    <definedName name="s_IFCG_far_adj">[1]ss!$N$49</definedName>
    <definedName name="s_IFCG_res_adj">[1]ss!$E$53</definedName>
    <definedName name="s_IFCI_far_adj">[1]ss!$N$52</definedName>
    <definedName name="s_IFCI_res_adj">[1]ss!$E$56</definedName>
    <definedName name="s_IFCO_far_adj">[1]ss!$N$55</definedName>
    <definedName name="s_IFCO_res_adj">[1]ss!$E$59</definedName>
    <definedName name="s_IFCR_far_adj">[1]ss!$N$46</definedName>
    <definedName name="s_IFCR_res_adj">[1]ss!$E$50</definedName>
    <definedName name="s_IFCU_far_adj">[1]ss!$N$58</definedName>
    <definedName name="s_IFCU_res_adj">[1]ss!$E$62</definedName>
    <definedName name="s_IFD_far_adj">[1]ss!$Q$17</definedName>
    <definedName name="s_IFE_far_adj">[1]ss!$Q$20</definedName>
    <definedName name="s_IFFI_far_adj">[1]ss!$Q$26</definedName>
    <definedName name="s_IFGM_far_adj">[1]ss!$Q$41</definedName>
    <definedName name="s_IFGO_far_adj">[1]ss!$Q$35</definedName>
    <definedName name="s_IFLE_far_adj">[1]ss!$N$61</definedName>
    <definedName name="s_IFLE_res_adj">[1]ss!$E$65</definedName>
    <definedName name="s_IFLI_far_adj">[1]ss!$N$64</definedName>
    <definedName name="s_IFLI_res_adj">[1]ss!$E$68</definedName>
    <definedName name="s_IFOK_far_adj">[1]ss!$N$67</definedName>
    <definedName name="s_IFOK_res_adj">[1]ss!$E$71</definedName>
    <definedName name="s_IFON_far_adj">[1]ss!$N$70</definedName>
    <definedName name="s_IFON_res_adj">[1]ss!$E$74</definedName>
    <definedName name="s_IFP_far_adj">[1]ss!$Q$23</definedName>
    <definedName name="s_IFPC_far_adj">[1]ss!$N$73</definedName>
    <definedName name="s_IFPC_res_adj">[1]ss!$E$77</definedName>
    <definedName name="s_IFPE_far_adj">[1]ss!$N$79</definedName>
    <definedName name="s_IFPE_res_adj">[1]ss!$E$83</definedName>
    <definedName name="s_IFPR_far_adj">[1]ss!$N$76</definedName>
    <definedName name="s_IFPR_res_adj">[1]ss!$E$80</definedName>
    <definedName name="s_IFPT_far_adj">[1]ss!$N$82</definedName>
    <definedName name="s_IFPT_res_adj">[1]ss!$E$86</definedName>
    <definedName name="s_IFPU_far_adj">[1]ss!$N$85</definedName>
    <definedName name="s_IFPU_res_adj">[1]ss!$E$89</definedName>
    <definedName name="s_IFRI_far_adj">[1]ss!$N$88</definedName>
    <definedName name="s_IFRI_res_adj">[1]ss!$E$92</definedName>
    <definedName name="s_IFS_far_adj">[1]ss!$K$12</definedName>
    <definedName name="s_IFS_rec_adj">[1]ss!$H$12</definedName>
    <definedName name="s_IFS_res_adj">[1]ss!$E$12</definedName>
    <definedName name="s_IFSH_far_adj">[1]ss!$Q$32</definedName>
    <definedName name="s_IFSM_far_adj">[1]ss!$Q$38</definedName>
    <definedName name="s_IFSN_far_adj">[1]ss!$N$91</definedName>
    <definedName name="s_IFSN_res_adj">[1]ss!$E$95</definedName>
    <definedName name="s_IFST_far_adj">[1]ss!$N$94</definedName>
    <definedName name="s_IFST_res_adj">[1]ss!$E$98</definedName>
    <definedName name="s_IFSW_far_adj">[1]ss!$Q$29</definedName>
    <definedName name="s_IFTO_far_adj">[1]ss!$N$97</definedName>
    <definedName name="s_IFTO_res_adj">[1]ss!$E$101</definedName>
    <definedName name="s_IFW_far_adj">[1]ss!$K$15</definedName>
    <definedName name="s_IFW_rec_adj">[1]ss!$H$15</definedName>
    <definedName name="s_IFW_res_adj">[1]ss!$E$15</definedName>
    <definedName name="s_Ir">[1]ss!$B$8</definedName>
    <definedName name="s_IRA_far_a">[1]ss!$K$7</definedName>
    <definedName name="s_IRA_far_c">[1]ss!$K$6</definedName>
    <definedName name="s_IRA_rec_a">[1]ss!$H$7</definedName>
    <definedName name="s_IRA_rec_c">[1]ss!$H$6</definedName>
    <definedName name="s_IRA_res_a">[1]ss!$E$7</definedName>
    <definedName name="s_IRA_res_c">[1]ss!$E$6</definedName>
    <definedName name="s_IRAP_far_a">[1]ss!$N$27</definedName>
    <definedName name="s_IRAP_far_c">[1]ss!$N$26</definedName>
    <definedName name="s_IRAP_res_a">[1]ss!$E$31</definedName>
    <definedName name="s_IRAP_res_c">[1]ss!$E$30</definedName>
    <definedName name="s_IRAres_a">exp!$E$17</definedName>
    <definedName name="s_IRAres_c">exp!$E$16</definedName>
    <definedName name="s_IRAS_far_a">[1]ss!$N$30</definedName>
    <definedName name="s_IRAS_far_c">[1]ss!$N$29</definedName>
    <definedName name="s_IRAS_res_a">[1]ss!$E$34</definedName>
    <definedName name="s_IRAS_res_c">[1]ss!$E$33</definedName>
    <definedName name="s_IRAw">exp!$E$30</definedName>
    <definedName name="s_IRB_far_a">[1]ss!$Q$13</definedName>
    <definedName name="s_IRB_far_c">[1]ss!$Q$12</definedName>
    <definedName name="s_IRBE_far_a">[1]ss!$N$36</definedName>
    <definedName name="s_IRBE_far_c">[1]ss!$N$35</definedName>
    <definedName name="s_IRBE_res_a">[1]ss!$E$40</definedName>
    <definedName name="s_IRBE_res_c">[1]ss!$E$39</definedName>
    <definedName name="s_IRBR_far_a">[1]ss!$N$39</definedName>
    <definedName name="s_IRBR_far_c">[1]ss!$N$38</definedName>
    <definedName name="s_IRBR_res_a">[1]ss!$E$43</definedName>
    <definedName name="s_IRBR_res_c">[1]ss!$E$42</definedName>
    <definedName name="s_IRBT_far_a">[1]ss!$N$33</definedName>
    <definedName name="s_IRBT_far_c">[1]ss!$N$32</definedName>
    <definedName name="s_IRBT_res_a">[1]ss!$E$37</definedName>
    <definedName name="s_IRBT_res_c">[1]ss!$E$36</definedName>
    <definedName name="s_IRCB_far_a">[1]ss!$N$42</definedName>
    <definedName name="s_IRCB_far_c">[1]ss!$N$41</definedName>
    <definedName name="s_IRCB_res_a">[1]ss!$E$46</definedName>
    <definedName name="s_IRCB_res_c">[1]ss!$E$45</definedName>
    <definedName name="s_IRCG_far_a">[1]ss!$N$48</definedName>
    <definedName name="s_IRCG_far_c">[1]ss!$N$47</definedName>
    <definedName name="s_IRCG_res_a">[1]ss!$E$52</definedName>
    <definedName name="s_IRCG_res_c">[1]ss!$E$51</definedName>
    <definedName name="s_IRCI_far_a">[1]ss!$N$51</definedName>
    <definedName name="s_IRCI_far_c">[1]ss!$N$50</definedName>
    <definedName name="s_IRCI_res_a">[1]ss!$E$55</definedName>
    <definedName name="s_IRCI_res_c">[1]ss!$E$54</definedName>
    <definedName name="s_IRCO_far_a">[1]ss!$N$54</definedName>
    <definedName name="s_IRCO_far_c">[1]ss!$N$53</definedName>
    <definedName name="s_IRCO_res_a">[1]ss!$E$58</definedName>
    <definedName name="s_IRCO_res_c">[1]ss!$E$57</definedName>
    <definedName name="s_IRCR_far_a">[1]ss!$N$45</definedName>
    <definedName name="s_IRCR_far_c">[1]ss!$N$44</definedName>
    <definedName name="s_IRCR_res_a">[1]ss!$E$49</definedName>
    <definedName name="s_IRCR_res_c">[1]ss!$E$48</definedName>
    <definedName name="s_IRCU_far_a">[1]ss!$N$57</definedName>
    <definedName name="s_IRCU_far_c">[1]ss!$N$56</definedName>
    <definedName name="s_IRCU_res_a">[1]ss!$E$61</definedName>
    <definedName name="s_IRCU_res_c">[1]ss!$E$60</definedName>
    <definedName name="s_IRD_far_a">[1]ss!$Q$16</definedName>
    <definedName name="s_IRD_far_c">[1]ss!$Q$15</definedName>
    <definedName name="s_IRE_far_a">[1]ss!$Q$19</definedName>
    <definedName name="s_IRE_far_c">[1]ss!$Q$18</definedName>
    <definedName name="s_IRF_res">[1]ss!$E$16</definedName>
    <definedName name="s_IRFI_far_a">[1]ss!$Q$25</definedName>
    <definedName name="s_IRFI_far_c">[1]ss!$Q$24</definedName>
    <definedName name="s_IRGF_rec">[1]ss!$H$17</definedName>
    <definedName name="s_IRGL_rec">[1]ss!$H$16</definedName>
    <definedName name="s_IRGM_far_a">[1]ss!$Q$40</definedName>
    <definedName name="s_IRGM_far_c">[1]ss!$Q$39</definedName>
    <definedName name="s_IRGO_far_a">[1]ss!$Q$34</definedName>
    <definedName name="s_IRGO_far_c">[1]ss!$Q$33</definedName>
    <definedName name="s_IRLE_far_a">[1]ss!$N$60</definedName>
    <definedName name="s_IRLE_far_c">[1]ss!$N$59</definedName>
    <definedName name="s_IRLE_res_a">[1]ss!$E$64</definedName>
    <definedName name="s_IRLE_res_c">[1]ss!$E$63</definedName>
    <definedName name="s_IRLI_far_a">[1]ss!$N$63</definedName>
    <definedName name="s_IRLI_far_c">[1]ss!$N$62</definedName>
    <definedName name="s_IRLI_res_a">[1]ss!$E$67</definedName>
    <definedName name="s_IRLI_res_c">[1]ss!$E$66</definedName>
    <definedName name="s_IROK_far_a">[1]ss!$N$66</definedName>
    <definedName name="s_IROK_far_c">[1]ss!$N$65</definedName>
    <definedName name="s_IROK_res_a">[1]ss!$E$70</definedName>
    <definedName name="s_IROK_res_c">[1]ss!$E$69</definedName>
    <definedName name="s_IRON_far_a">[1]ss!$N$69</definedName>
    <definedName name="s_IRON_far_c">[1]ss!$N$68</definedName>
    <definedName name="s_IRON_res_a">[1]ss!$E$73</definedName>
    <definedName name="s_IRON_res_c">[1]ss!$E$72</definedName>
    <definedName name="s_IRP_far_a">[1]ss!$Q$22</definedName>
    <definedName name="s_IRP_far_c">[1]ss!$Q$21</definedName>
    <definedName name="s_IRPC_far_a">[1]ss!$N$72</definedName>
    <definedName name="s_IRPC_far_c">[1]ss!$N$71</definedName>
    <definedName name="s_IRPC_res_a">[1]ss!$E$76</definedName>
    <definedName name="s_IRPC_res_c">[1]ss!$E$75</definedName>
    <definedName name="s_IRPE_far_a">[1]ss!$N$78</definedName>
    <definedName name="s_IRPE_far_c">[1]ss!$N$77</definedName>
    <definedName name="s_IRPE_res_a">[1]ss!$E$82</definedName>
    <definedName name="s_IRPE_res_c">[1]ss!$E$81</definedName>
    <definedName name="s_IRPR_far_a">[1]ss!$N$75</definedName>
    <definedName name="s_IRPR_far_c">[1]ss!$N$74</definedName>
    <definedName name="s_IRPR_res_a">[1]ss!$E$79</definedName>
    <definedName name="s_IRPR_res_c">[1]ss!$E$78</definedName>
    <definedName name="s_IRPT_far_a">[1]ss!$N$81</definedName>
    <definedName name="s_IRPT_far_c">[1]ss!$N$80</definedName>
    <definedName name="s_IRPT_res_a">[1]ss!$E$85</definedName>
    <definedName name="s_IRPT_res_c">[1]ss!$E$84</definedName>
    <definedName name="s_IRPU_far_a">[1]ss!$N$84</definedName>
    <definedName name="s_IRPU_far_c">[1]ss!$N$83</definedName>
    <definedName name="s_IRPU_res_a">[1]ss!$E$88</definedName>
    <definedName name="s_IRPU_res_c">[1]ss!$E$87</definedName>
    <definedName name="s_IRRI_far_a">[1]ss!$N$87</definedName>
    <definedName name="s_IRRI_far_c">[1]ss!$N$86</definedName>
    <definedName name="s_IRRI_res_a">[1]ss!$E$91</definedName>
    <definedName name="s_IRRI_res_c">[1]ss!$E$90</definedName>
    <definedName name="s_IRS_far_a">[1]ss!$K$11</definedName>
    <definedName name="s_IRS_far_c">[1]ss!$K$10</definedName>
    <definedName name="s_IRS_rec_a">[1]ss!$H$11</definedName>
    <definedName name="s_IRS_rec_c">[1]ss!$H$10</definedName>
    <definedName name="s_IRS_res_a">[1]ss!$E$11</definedName>
    <definedName name="s_IRS_res_c">[1]ss!$E$10</definedName>
    <definedName name="s_IRSH_far_a">[1]ss!$Q$31</definedName>
    <definedName name="s_IRSH_far_c">[1]ss!$Q$30</definedName>
    <definedName name="s_IRSM_far_a">[1]ss!$Q$37</definedName>
    <definedName name="s_IRSM_far_c">[1]ss!$Q$36</definedName>
    <definedName name="s_IRSN_far_a">[1]ss!$N$90</definedName>
    <definedName name="s_IRSN_far_c">[1]ss!$N$89</definedName>
    <definedName name="s_IRSN_res_a">[1]ss!$E$94</definedName>
    <definedName name="s_IRSN_res_c">[1]ss!$E$93</definedName>
    <definedName name="s_IRST_far_a">[1]ss!$N$93</definedName>
    <definedName name="s_IRST_far_c">[1]ss!$N$92</definedName>
    <definedName name="s_IRST_res_a">[1]ss!$E$97</definedName>
    <definedName name="s_IRST_res_c">[1]ss!$E$96</definedName>
    <definedName name="s_IRSW_far_a">[1]ss!$Q$28</definedName>
    <definedName name="s_IRSW_far_c">[1]ss!$Q$27</definedName>
    <definedName name="s_IRTO_far_a">[1]ss!$N$96</definedName>
    <definedName name="s_IRTO_far_c">[1]ss!$N$95</definedName>
    <definedName name="s_IRTO_res_a">[1]ss!$E$100</definedName>
    <definedName name="s_IRTO_res_c">[1]ss!$E$99</definedName>
    <definedName name="s_IRW_far_a">[1]ss!$K$14</definedName>
    <definedName name="s_IRW_far_c">[1]ss!$K$13</definedName>
    <definedName name="s_IRW_rec_a">[1]ss!$H$14</definedName>
    <definedName name="s_IRW_rec_c">[1]ss!$H$13</definedName>
    <definedName name="s_IRW_res_a">[1]ss!$E$14</definedName>
    <definedName name="s_IRW_res_c">[1]ss!$E$13</definedName>
    <definedName name="s_K">[1]ss!$B$3</definedName>
    <definedName name="s_K_s2gw">[1]ss!$B$20</definedName>
    <definedName name="s_L_s2gw">[1]ss!$B$23</definedName>
    <definedName name="s_lambda_HL">[1]ss!$B$7</definedName>
    <definedName name="s_ls2gw">[1]ss!$B$22</definedName>
    <definedName name="s_MLF_apple">[1]ss!$K$30</definedName>
    <definedName name="s_MLF_asparagus">[1]ss!$K$31</definedName>
    <definedName name="s_MLF_beet">[1]ss!$K$32</definedName>
    <definedName name="s_MLF_berries">[1]ss!$K$33</definedName>
    <definedName name="s_MLF_broccoli">[1]ss!$K$34</definedName>
    <definedName name="s_MLF_cabbage">[1]ss!$K$35</definedName>
    <definedName name="s_MLF_carrot">[1]ss!$K$36</definedName>
    <definedName name="s_MLF_cereal">[1]ss!$K$52</definedName>
    <definedName name="s_MLF_citrus">[1]ss!$K$37</definedName>
    <definedName name="s_MLF_corn">[1]ss!$K$38</definedName>
    <definedName name="s_MLF_cucumber">[1]ss!$K$39</definedName>
    <definedName name="s_MLF_lettuce">[1]ss!$K$40</definedName>
    <definedName name="s_MLF_lima_bean">[1]ss!$K$41</definedName>
    <definedName name="s_MLF_okra">[1]ss!$K$42</definedName>
    <definedName name="s_MLF_onion">[1]ss!$K$43</definedName>
    <definedName name="s_MLF_pasture">[1]ss!$Q$68</definedName>
    <definedName name="s_MLF_peach">[1]ss!$K$44</definedName>
    <definedName name="s_MLF_pear">[1]ss!$K$45</definedName>
    <definedName name="s_MLF_peas">[1]ss!$K$46</definedName>
    <definedName name="s_MLF_potato">[1]ss!$K$47</definedName>
    <definedName name="s_MLF_pumpkin">[1]ss!$K$48</definedName>
    <definedName name="s_MLF_rice">[1]ss!$K$53</definedName>
    <definedName name="s_MLF_snap_bean">[1]ss!$K$49</definedName>
    <definedName name="s_MLF_strawberry">[1]ss!$K$50</definedName>
    <definedName name="s_MLF_tomato">[1]ss!$K$51</definedName>
    <definedName name="s_P">[1]ss!$B$11</definedName>
    <definedName name="s_PEF_wind">[1]ss!$B$27</definedName>
    <definedName name="s_Q_C_wind">[1]ss!$B$32</definedName>
    <definedName name="s_Q_p_beef">[1]ss!$Q$49</definedName>
    <definedName name="s_Q_p_dairy">[1]ss!$Q$44</definedName>
    <definedName name="s_Q_p_egg">[1]ss!$Q$54</definedName>
    <definedName name="s_Q_p_fowl">[1]ss!$H$28</definedName>
    <definedName name="s_Q_p_game">[1]ss!$H$33</definedName>
    <definedName name="s_Q_p_goat">[1]ss!$Q$76</definedName>
    <definedName name="s_Q_p_goat_milk">[1]ss!$Q$81</definedName>
    <definedName name="s_Q_p_poultry">[1]ss!$Q$59</definedName>
    <definedName name="s_Q_p_sheep">[1]ss!$Q$71</definedName>
    <definedName name="s_Q_p_sheep_milk">[1]ss!$Q$86</definedName>
    <definedName name="s_Q_p_swine">[1]ss!$Q$64</definedName>
    <definedName name="s_Q_s_beef">[1]ss!$Q$50</definedName>
    <definedName name="s_Q_s_dairy">[1]ss!$Q$45</definedName>
    <definedName name="s_Q_s_fowl">[1]ss!$H$29</definedName>
    <definedName name="s_Q_s_game">[1]ss!$H$34</definedName>
    <definedName name="s_Q_s_goat">[1]ss!$Q$77</definedName>
    <definedName name="s_Q_s_goat_milk">[1]ss!$Q$82</definedName>
    <definedName name="s_Q_s_poultry">[1]ss!$Q$60</definedName>
    <definedName name="s_Q_s_sheep">[1]ss!$Q$72</definedName>
    <definedName name="s_Q_s_sheep_milk">[1]ss!$Q$87</definedName>
    <definedName name="s_Q_s_swine">[1]ss!$Q$65</definedName>
    <definedName name="s_Q_w_beef">[1]ss!$Q$48</definedName>
    <definedName name="s_Q_w_dairy">[1]ss!$Q$42</definedName>
    <definedName name="s_Q_w_egg">[1]ss!$Q$53</definedName>
    <definedName name="s_Q_w_fowl">[1]ss!$H$32</definedName>
    <definedName name="s_Q_w_game">[1]ss!$H$37</definedName>
    <definedName name="s_Q_w_goat">[1]ss!$Q$75</definedName>
    <definedName name="s_Q_w_goat_milk">[1]ss!$Q$80</definedName>
    <definedName name="s_Q_w_poultry">[1]ss!$Q$58</definedName>
    <definedName name="s_Q_w_sheep">[1]ss!$Q$70</definedName>
    <definedName name="s_Q_w_sheep_milk">[1]ss!$Q$85</definedName>
    <definedName name="s_Q_w_swine">[1]ss!$Q$63</definedName>
    <definedName name="s_R_es_past">[1]ss!$Q$69</definedName>
    <definedName name="s_T">[1]ss!$B$15</definedName>
    <definedName name="s_t_b">[1]ss!$B$10</definedName>
    <definedName name="s_t_far">[1]ss!$K$5</definedName>
    <definedName name="s_t_rec">[1]ss!$H$5</definedName>
    <definedName name="s_t_res">[1]ss!$E$5</definedName>
    <definedName name="s_t_v">[1]ss!$B$13</definedName>
    <definedName name="s_t_w">[1]ss!$B$16</definedName>
    <definedName name="s_Tgw">exp!$E$25</definedName>
    <definedName name="s_TgwK">exp!$E$26</definedName>
    <definedName name="s_TR" localSheetId="0">[1]ss!$B$2</definedName>
    <definedName name="s_TR">exp!$E$2</definedName>
    <definedName name="s_tres">exp!$E$5</definedName>
    <definedName name="s_tw">exp!$E$6</definedName>
    <definedName name="s_Um">[1]ss!$B$28</definedName>
    <definedName name="s_Ut">[1]ss!$B$29</definedName>
    <definedName name="s_V">[1]ss!$B$31</definedName>
    <definedName name="s_WL">exp!$E$4</definedName>
    <definedName name="s_Y_v">[1]ss!$B$14</definedName>
    <definedName name="s_θw">[1]ss!$B$18</definedName>
    <definedName name="s_ρb">[1]ss!$B$17</definedName>
    <definedName name="T">[1]d!$B$15</definedName>
    <definedName name="t_b">[1]d!$B$10</definedName>
    <definedName name="t_far">[1]d!$K$5</definedName>
    <definedName name="t_rec">[1]d!$H$5</definedName>
    <definedName name="t_res">[1]d!$E$5</definedName>
    <definedName name="t_v">[1]d!$B$13</definedName>
    <definedName name="t_w">[1]d!$B$16</definedName>
    <definedName name="Tgw">exp!$B$25</definedName>
    <definedName name="TgwK">exp!$B$26</definedName>
    <definedName name="TR" localSheetId="0">[1]d!$B$2</definedName>
    <definedName name="TR">exp!$B$2</definedName>
    <definedName name="tres">exp!$B$5</definedName>
    <definedName name="tw">exp!$B$6</definedName>
    <definedName name="Um">[1]d!$B$28</definedName>
    <definedName name="Ut">[1]d!$B$29</definedName>
    <definedName name="V">[1]d!$B$31</definedName>
    <definedName name="WL">exp!$B$4</definedName>
    <definedName name="Y_v">[1]d!$B$14</definedName>
    <definedName name="θw">[1]d!$B$18</definedName>
    <definedName name="ρb">[1]d!$B$17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6" l="1"/>
  <c r="A59" i="6"/>
  <c r="A58" i="6"/>
  <c r="A57" i="6"/>
  <c r="A56" i="6"/>
  <c r="A55" i="6"/>
  <c r="A54" i="6"/>
  <c r="A53" i="6"/>
  <c r="A52" i="6"/>
  <c r="A51" i="6"/>
  <c r="A50" i="6"/>
  <c r="A49" i="6"/>
  <c r="A48" i="6"/>
  <c r="A60" i="14"/>
  <c r="A59" i="14"/>
  <c r="A58" i="14"/>
  <c r="A57" i="14"/>
  <c r="A56" i="14"/>
  <c r="A55" i="14"/>
  <c r="A54" i="14"/>
  <c r="A53" i="14"/>
  <c r="A52" i="14"/>
  <c r="A51" i="14"/>
  <c r="A50" i="14"/>
  <c r="A49" i="14"/>
  <c r="A48" i="14"/>
  <c r="A60" i="16"/>
  <c r="A59" i="16"/>
  <c r="A58" i="16"/>
  <c r="A57" i="16"/>
  <c r="A56" i="16"/>
  <c r="A55" i="16"/>
  <c r="A54" i="16"/>
  <c r="A53" i="16"/>
  <c r="A52" i="16"/>
  <c r="A51" i="16"/>
  <c r="A50" i="16"/>
  <c r="A49" i="16"/>
  <c r="A48" i="16"/>
  <c r="A60" i="13"/>
  <c r="A59" i="13"/>
  <c r="A58" i="13"/>
  <c r="A57" i="13"/>
  <c r="A56" i="13"/>
  <c r="A55" i="13"/>
  <c r="A54" i="13"/>
  <c r="A53" i="13"/>
  <c r="A52" i="13"/>
  <c r="A51" i="13"/>
  <c r="A50" i="13"/>
  <c r="A49" i="13"/>
  <c r="A48" i="13"/>
  <c r="A60" i="2"/>
  <c r="A59" i="2"/>
  <c r="A58" i="2"/>
  <c r="A57" i="2"/>
  <c r="A56" i="2"/>
  <c r="A55" i="2"/>
  <c r="A54" i="2"/>
  <c r="A53" i="2"/>
  <c r="A52" i="2"/>
  <c r="A51" i="2"/>
  <c r="A50" i="2"/>
  <c r="A49" i="2"/>
  <c r="A48" i="2"/>
  <c r="A49" i="3"/>
  <c r="A50" i="3"/>
  <c r="A51" i="3"/>
  <c r="A52" i="3"/>
  <c r="A53" i="3"/>
  <c r="A54" i="3"/>
  <c r="A55" i="3"/>
  <c r="A56" i="3"/>
  <c r="A57" i="3"/>
  <c r="A58" i="3"/>
  <c r="A59" i="3"/>
  <c r="A60" i="3"/>
  <c r="A48" i="3"/>
  <c r="A47" i="3"/>
  <c r="A33" i="3"/>
  <c r="AJ60" i="14"/>
  <c r="AI60" i="14"/>
  <c r="X60" i="14"/>
  <c r="W60" i="14"/>
  <c r="R60" i="14"/>
  <c r="Q60" i="14"/>
  <c r="F60" i="14"/>
  <c r="E60" i="14"/>
  <c r="AJ59" i="14"/>
  <c r="AI59" i="14"/>
  <c r="X59" i="14"/>
  <c r="W59" i="14"/>
  <c r="R59" i="14"/>
  <c r="Q59" i="14"/>
  <c r="F59" i="14"/>
  <c r="E59" i="14"/>
  <c r="AJ58" i="14"/>
  <c r="AI58" i="14"/>
  <c r="X58" i="14"/>
  <c r="W58" i="14"/>
  <c r="R58" i="14"/>
  <c r="Q58" i="14"/>
  <c r="F58" i="14"/>
  <c r="E58" i="14"/>
  <c r="AJ57" i="14"/>
  <c r="AI57" i="14"/>
  <c r="X57" i="14"/>
  <c r="W57" i="14"/>
  <c r="R57" i="14"/>
  <c r="Q57" i="14"/>
  <c r="F57" i="14"/>
  <c r="E57" i="14"/>
  <c r="AJ56" i="14"/>
  <c r="AI56" i="14"/>
  <c r="X56" i="14"/>
  <c r="W56" i="14"/>
  <c r="R56" i="14"/>
  <c r="Q56" i="14"/>
  <c r="F56" i="14"/>
  <c r="E56" i="14"/>
  <c r="AJ55" i="14"/>
  <c r="AI55" i="14"/>
  <c r="X55" i="14"/>
  <c r="W55" i="14"/>
  <c r="R55" i="14"/>
  <c r="Q55" i="14"/>
  <c r="F55" i="14"/>
  <c r="E55" i="14"/>
  <c r="AJ54" i="14"/>
  <c r="AI54" i="14"/>
  <c r="X54" i="14"/>
  <c r="W54" i="14"/>
  <c r="R54" i="14"/>
  <c r="Q54" i="14"/>
  <c r="F54" i="14"/>
  <c r="E54" i="14"/>
  <c r="AJ53" i="14"/>
  <c r="AI53" i="14"/>
  <c r="X53" i="14"/>
  <c r="W53" i="14"/>
  <c r="R53" i="14"/>
  <c r="Q53" i="14"/>
  <c r="F53" i="14"/>
  <c r="E53" i="14"/>
  <c r="AJ52" i="14"/>
  <c r="AI52" i="14"/>
  <c r="X52" i="14"/>
  <c r="W52" i="14"/>
  <c r="R52" i="14"/>
  <c r="Q52" i="14"/>
  <c r="F52" i="14"/>
  <c r="E52" i="14"/>
  <c r="AJ51" i="14"/>
  <c r="AI51" i="14"/>
  <c r="X51" i="14"/>
  <c r="W51" i="14"/>
  <c r="R51" i="14"/>
  <c r="Q51" i="14"/>
  <c r="F51" i="14"/>
  <c r="E51" i="14"/>
  <c r="AJ50" i="14"/>
  <c r="AI50" i="14"/>
  <c r="X50" i="14"/>
  <c r="W50" i="14"/>
  <c r="R50" i="14"/>
  <c r="Q50" i="14"/>
  <c r="F50" i="14"/>
  <c r="E50" i="14"/>
  <c r="AJ49" i="14"/>
  <c r="AI49" i="14"/>
  <c r="X49" i="14"/>
  <c r="W49" i="14"/>
  <c r="R49" i="14"/>
  <c r="Q49" i="14"/>
  <c r="F49" i="14"/>
  <c r="E49" i="14"/>
  <c r="AJ48" i="14"/>
  <c r="AI48" i="14"/>
  <c r="Z48" i="14"/>
  <c r="X48" i="14"/>
  <c r="W48" i="14"/>
  <c r="R48" i="14"/>
  <c r="Q48" i="14"/>
  <c r="H48" i="14"/>
  <c r="F48" i="14"/>
  <c r="E48" i="14"/>
  <c r="A47" i="14"/>
  <c r="AJ46" i="14"/>
  <c r="AI46" i="14"/>
  <c r="X46" i="14"/>
  <c r="W46" i="14"/>
  <c r="R46" i="14"/>
  <c r="Q46" i="14"/>
  <c r="F46" i="14"/>
  <c r="E46" i="14"/>
  <c r="A46" i="14"/>
  <c r="AJ45" i="14"/>
  <c r="AI45" i="14"/>
  <c r="X45" i="14"/>
  <c r="W45" i="14"/>
  <c r="R45" i="14"/>
  <c r="Q45" i="14"/>
  <c r="F45" i="14"/>
  <c r="E45" i="14"/>
  <c r="A45" i="14"/>
  <c r="AJ44" i="14"/>
  <c r="AI44" i="14"/>
  <c r="X44" i="14"/>
  <c r="W44" i="14"/>
  <c r="R44" i="14"/>
  <c r="Q44" i="14"/>
  <c r="F44" i="14"/>
  <c r="E44" i="14"/>
  <c r="A44" i="14"/>
  <c r="AJ43" i="14"/>
  <c r="AI43" i="14"/>
  <c r="X43" i="14"/>
  <c r="W43" i="14"/>
  <c r="R43" i="14"/>
  <c r="Q43" i="14"/>
  <c r="F43" i="14"/>
  <c r="E43" i="14"/>
  <c r="A43" i="14"/>
  <c r="AJ42" i="14"/>
  <c r="AI42" i="14"/>
  <c r="X42" i="14"/>
  <c r="W42" i="14"/>
  <c r="R42" i="14"/>
  <c r="Q42" i="14"/>
  <c r="F42" i="14"/>
  <c r="E42" i="14"/>
  <c r="A42" i="14"/>
  <c r="AJ41" i="14"/>
  <c r="AI41" i="14"/>
  <c r="Z41" i="14"/>
  <c r="AB41" i="14" s="1"/>
  <c r="AD41" i="14" s="1"/>
  <c r="X41" i="14"/>
  <c r="W41" i="14"/>
  <c r="R41" i="14"/>
  <c r="Q41" i="14"/>
  <c r="H41" i="14"/>
  <c r="F41" i="14"/>
  <c r="E41" i="14"/>
  <c r="A41" i="14"/>
  <c r="A40" i="14"/>
  <c r="AJ39" i="14"/>
  <c r="AI39" i="14"/>
  <c r="X39" i="14"/>
  <c r="W39" i="14"/>
  <c r="R39" i="14"/>
  <c r="Q39" i="14"/>
  <c r="F39" i="14"/>
  <c r="E39" i="14"/>
  <c r="A39" i="14"/>
  <c r="AJ38" i="14"/>
  <c r="AI38" i="14"/>
  <c r="X38" i="14"/>
  <c r="W38" i="14"/>
  <c r="R38" i="14"/>
  <c r="Q38" i="14"/>
  <c r="F38" i="14"/>
  <c r="E38" i="14"/>
  <c r="A38" i="14"/>
  <c r="AJ37" i="14"/>
  <c r="AI37" i="14"/>
  <c r="X37" i="14"/>
  <c r="W37" i="14"/>
  <c r="R37" i="14"/>
  <c r="Q37" i="14"/>
  <c r="F37" i="14"/>
  <c r="E37" i="14"/>
  <c r="A37" i="14"/>
  <c r="AJ36" i="14"/>
  <c r="AI36" i="14"/>
  <c r="X36" i="14"/>
  <c r="W36" i="14"/>
  <c r="R36" i="14"/>
  <c r="Q36" i="14"/>
  <c r="F36" i="14"/>
  <c r="E36" i="14"/>
  <c r="A36" i="14"/>
  <c r="AJ35" i="14"/>
  <c r="AI35" i="14"/>
  <c r="X35" i="14"/>
  <c r="W35" i="14"/>
  <c r="R35" i="14"/>
  <c r="Q35" i="14"/>
  <c r="F35" i="14"/>
  <c r="E35" i="14"/>
  <c r="A35" i="14"/>
  <c r="AJ34" i="14"/>
  <c r="AI34" i="14"/>
  <c r="Z34" i="14"/>
  <c r="AB34" i="14" s="1"/>
  <c r="AD34" i="14" s="1"/>
  <c r="X34" i="14"/>
  <c r="W34" i="14"/>
  <c r="R34" i="14"/>
  <c r="Q34" i="14"/>
  <c r="H34" i="14"/>
  <c r="F34" i="14"/>
  <c r="E34" i="14"/>
  <c r="A34" i="14"/>
  <c r="A33" i="14"/>
  <c r="AJ60" i="16"/>
  <c r="AI60" i="16"/>
  <c r="X60" i="16"/>
  <c r="W60" i="16"/>
  <c r="R60" i="16"/>
  <c r="Q60" i="16"/>
  <c r="F60" i="16"/>
  <c r="E60" i="16"/>
  <c r="AJ59" i="16"/>
  <c r="AI59" i="16"/>
  <c r="X59" i="16"/>
  <c r="W59" i="16"/>
  <c r="R59" i="16"/>
  <c r="Q59" i="16"/>
  <c r="F59" i="16"/>
  <c r="E59" i="16"/>
  <c r="AJ58" i="16"/>
  <c r="AI58" i="16"/>
  <c r="X58" i="16"/>
  <c r="W58" i="16"/>
  <c r="R58" i="16"/>
  <c r="Q58" i="16"/>
  <c r="F58" i="16"/>
  <c r="E58" i="16"/>
  <c r="AJ57" i="16"/>
  <c r="AI57" i="16"/>
  <c r="X57" i="16"/>
  <c r="W57" i="16"/>
  <c r="R57" i="16"/>
  <c r="Q57" i="16"/>
  <c r="F57" i="16"/>
  <c r="E57" i="16"/>
  <c r="AJ56" i="16"/>
  <c r="AI56" i="16"/>
  <c r="X56" i="16"/>
  <c r="W56" i="16"/>
  <c r="R56" i="16"/>
  <c r="Q56" i="16"/>
  <c r="F56" i="16"/>
  <c r="E56" i="16"/>
  <c r="AJ55" i="16"/>
  <c r="AI55" i="16"/>
  <c r="X55" i="16"/>
  <c r="W55" i="16"/>
  <c r="R55" i="16"/>
  <c r="Q55" i="16"/>
  <c r="F55" i="16"/>
  <c r="E55" i="16"/>
  <c r="AJ54" i="16"/>
  <c r="AI54" i="16"/>
  <c r="X54" i="16"/>
  <c r="W54" i="16"/>
  <c r="R54" i="16"/>
  <c r="Q54" i="16"/>
  <c r="F54" i="16"/>
  <c r="E54" i="16"/>
  <c r="AJ53" i="16"/>
  <c r="AI53" i="16"/>
  <c r="X53" i="16"/>
  <c r="W53" i="16"/>
  <c r="R53" i="16"/>
  <c r="Q53" i="16"/>
  <c r="F53" i="16"/>
  <c r="E53" i="16"/>
  <c r="AJ52" i="16"/>
  <c r="AI52" i="16"/>
  <c r="X52" i="16"/>
  <c r="W52" i="16"/>
  <c r="R52" i="16"/>
  <c r="Q52" i="16"/>
  <c r="F52" i="16"/>
  <c r="E52" i="16"/>
  <c r="AJ51" i="16"/>
  <c r="AI51" i="16"/>
  <c r="X51" i="16"/>
  <c r="W51" i="16"/>
  <c r="R51" i="16"/>
  <c r="Q51" i="16"/>
  <c r="F51" i="16"/>
  <c r="E51" i="16"/>
  <c r="AJ50" i="16"/>
  <c r="AI50" i="16"/>
  <c r="X50" i="16"/>
  <c r="W50" i="16"/>
  <c r="R50" i="16"/>
  <c r="Q50" i="16"/>
  <c r="F50" i="16"/>
  <c r="E50" i="16"/>
  <c r="AJ49" i="16"/>
  <c r="AI49" i="16"/>
  <c r="X49" i="16"/>
  <c r="W49" i="16"/>
  <c r="R49" i="16"/>
  <c r="Q49" i="16"/>
  <c r="F49" i="16"/>
  <c r="E49" i="16"/>
  <c r="AJ48" i="16"/>
  <c r="AI48" i="16"/>
  <c r="Z48" i="16"/>
  <c r="X48" i="16"/>
  <c r="W48" i="16"/>
  <c r="R48" i="16"/>
  <c r="Q48" i="16"/>
  <c r="H48" i="16"/>
  <c r="F48" i="16"/>
  <c r="E48" i="16"/>
  <c r="A47" i="16"/>
  <c r="AJ46" i="16"/>
  <c r="AI46" i="16"/>
  <c r="X46" i="16"/>
  <c r="W46" i="16"/>
  <c r="R46" i="16"/>
  <c r="Q46" i="16"/>
  <c r="F46" i="16"/>
  <c r="E46" i="16"/>
  <c r="A46" i="16"/>
  <c r="AJ45" i="16"/>
  <c r="AI45" i="16"/>
  <c r="X45" i="16"/>
  <c r="W45" i="16"/>
  <c r="R45" i="16"/>
  <c r="Q45" i="16"/>
  <c r="F45" i="16"/>
  <c r="E45" i="16"/>
  <c r="A45" i="16"/>
  <c r="AJ44" i="16"/>
  <c r="AI44" i="16"/>
  <c r="X44" i="16"/>
  <c r="W44" i="16"/>
  <c r="R44" i="16"/>
  <c r="Q44" i="16"/>
  <c r="F44" i="16"/>
  <c r="E44" i="16"/>
  <c r="A44" i="16"/>
  <c r="AJ43" i="16"/>
  <c r="AI43" i="16"/>
  <c r="X43" i="16"/>
  <c r="W43" i="16"/>
  <c r="R43" i="16"/>
  <c r="Q43" i="16"/>
  <c r="F43" i="16"/>
  <c r="E43" i="16"/>
  <c r="A43" i="16"/>
  <c r="AJ42" i="16"/>
  <c r="AI42" i="16"/>
  <c r="X42" i="16"/>
  <c r="W42" i="16"/>
  <c r="R42" i="16"/>
  <c r="Q42" i="16"/>
  <c r="F42" i="16"/>
  <c r="E42" i="16"/>
  <c r="A42" i="16"/>
  <c r="AJ41" i="16"/>
  <c r="AI41" i="16"/>
  <c r="Z41" i="16"/>
  <c r="X41" i="16"/>
  <c r="W41" i="16"/>
  <c r="R41" i="16"/>
  <c r="Q41" i="16"/>
  <c r="H41" i="16"/>
  <c r="F41" i="16"/>
  <c r="E41" i="16"/>
  <c r="A41" i="16"/>
  <c r="A40" i="16"/>
  <c r="AJ39" i="16"/>
  <c r="AI39" i="16"/>
  <c r="X39" i="16"/>
  <c r="W39" i="16"/>
  <c r="R39" i="16"/>
  <c r="Q39" i="16"/>
  <c r="F39" i="16"/>
  <c r="E39" i="16"/>
  <c r="A39" i="16"/>
  <c r="AJ38" i="16"/>
  <c r="AI38" i="16"/>
  <c r="X38" i="16"/>
  <c r="W38" i="16"/>
  <c r="R38" i="16"/>
  <c r="Q38" i="16"/>
  <c r="F38" i="16"/>
  <c r="E38" i="16"/>
  <c r="A38" i="16"/>
  <c r="AJ37" i="16"/>
  <c r="AI37" i="16"/>
  <c r="X37" i="16"/>
  <c r="W37" i="16"/>
  <c r="R37" i="16"/>
  <c r="Q37" i="16"/>
  <c r="F37" i="16"/>
  <c r="E37" i="16"/>
  <c r="A37" i="16"/>
  <c r="AJ36" i="16"/>
  <c r="AI36" i="16"/>
  <c r="X36" i="16"/>
  <c r="W36" i="16"/>
  <c r="R36" i="16"/>
  <c r="Q36" i="16"/>
  <c r="F36" i="16"/>
  <c r="E36" i="16"/>
  <c r="A36" i="16"/>
  <c r="AJ35" i="16"/>
  <c r="AI35" i="16"/>
  <c r="X35" i="16"/>
  <c r="W35" i="16"/>
  <c r="R35" i="16"/>
  <c r="Q35" i="16"/>
  <c r="F35" i="16"/>
  <c r="E35" i="16"/>
  <c r="A35" i="16"/>
  <c r="AJ34" i="16"/>
  <c r="AI34" i="16"/>
  <c r="Z34" i="16"/>
  <c r="AB34" i="16" s="1"/>
  <c r="AD34" i="16" s="1"/>
  <c r="X34" i="16"/>
  <c r="W34" i="16"/>
  <c r="R34" i="16"/>
  <c r="Q34" i="16"/>
  <c r="H34" i="16"/>
  <c r="F34" i="16"/>
  <c r="E34" i="16"/>
  <c r="A34" i="16"/>
  <c r="A33" i="16"/>
  <c r="AH60" i="16"/>
  <c r="AG60" i="16"/>
  <c r="V60" i="16"/>
  <c r="U60" i="16"/>
  <c r="AH59" i="16"/>
  <c r="AG59" i="16"/>
  <c r="V59" i="16"/>
  <c r="U59" i="16"/>
  <c r="AH58" i="16"/>
  <c r="AG58" i="16"/>
  <c r="V58" i="16"/>
  <c r="U58" i="16"/>
  <c r="AH57" i="16"/>
  <c r="AG57" i="16"/>
  <c r="V57" i="16"/>
  <c r="U57" i="16"/>
  <c r="AH56" i="16"/>
  <c r="AG56" i="16"/>
  <c r="V56" i="16"/>
  <c r="U56" i="16"/>
  <c r="AH55" i="16"/>
  <c r="AG55" i="16"/>
  <c r="V55" i="16"/>
  <c r="U55" i="16"/>
  <c r="AH54" i="16"/>
  <c r="AG54" i="16"/>
  <c r="V54" i="16"/>
  <c r="U54" i="16"/>
  <c r="AH53" i="16"/>
  <c r="AG53" i="16"/>
  <c r="V53" i="16"/>
  <c r="U53" i="16"/>
  <c r="AH52" i="16"/>
  <c r="AG52" i="16"/>
  <c r="V52" i="16"/>
  <c r="U52" i="16"/>
  <c r="AH51" i="16"/>
  <c r="AG51" i="16"/>
  <c r="V51" i="16"/>
  <c r="U51" i="16"/>
  <c r="AH50" i="16"/>
  <c r="AG50" i="16"/>
  <c r="V50" i="16"/>
  <c r="U50" i="16"/>
  <c r="AH49" i="16"/>
  <c r="AG49" i="16"/>
  <c r="V49" i="16"/>
  <c r="U49" i="16"/>
  <c r="AH48" i="16"/>
  <c r="AG48" i="16"/>
  <c r="AB48" i="16"/>
  <c r="AD48" i="16" s="1"/>
  <c r="AA48" i="16"/>
  <c r="AC48" i="16" s="1"/>
  <c r="V48" i="16"/>
  <c r="U48" i="16"/>
  <c r="AH46" i="16"/>
  <c r="AG46" i="16"/>
  <c r="V46" i="16"/>
  <c r="U46" i="16"/>
  <c r="AH45" i="16"/>
  <c r="AG45" i="16"/>
  <c r="V45" i="16"/>
  <c r="U45" i="16"/>
  <c r="AH44" i="16"/>
  <c r="AG44" i="16"/>
  <c r="V44" i="16"/>
  <c r="U44" i="16"/>
  <c r="AH43" i="16"/>
  <c r="AG43" i="16"/>
  <c r="V43" i="16"/>
  <c r="U43" i="16"/>
  <c r="AH42" i="16"/>
  <c r="AG42" i="16"/>
  <c r="V42" i="16"/>
  <c r="U42" i="16"/>
  <c r="AH41" i="16"/>
  <c r="AG41" i="16"/>
  <c r="AB41" i="16"/>
  <c r="AD41" i="16" s="1"/>
  <c r="AA41" i="16"/>
  <c r="AC41" i="16" s="1"/>
  <c r="V41" i="16"/>
  <c r="U41" i="16"/>
  <c r="AH39" i="16"/>
  <c r="AG39" i="16"/>
  <c r="V39" i="16"/>
  <c r="U39" i="16"/>
  <c r="AH38" i="16"/>
  <c r="AG38" i="16"/>
  <c r="V38" i="16"/>
  <c r="U38" i="16"/>
  <c r="AH37" i="16"/>
  <c r="AG37" i="16"/>
  <c r="V37" i="16"/>
  <c r="U37" i="16"/>
  <c r="AH36" i="16"/>
  <c r="AG36" i="16"/>
  <c r="V36" i="16"/>
  <c r="U36" i="16"/>
  <c r="AH35" i="16"/>
  <c r="AG35" i="16"/>
  <c r="V35" i="16"/>
  <c r="U35" i="16"/>
  <c r="AH34" i="16"/>
  <c r="AG34" i="16"/>
  <c r="AA34" i="16"/>
  <c r="AC34" i="16" s="1"/>
  <c r="V34" i="16"/>
  <c r="U34" i="16"/>
  <c r="AH60" i="14"/>
  <c r="AG60" i="14"/>
  <c r="V60" i="14"/>
  <c r="U60" i="14"/>
  <c r="AH59" i="14"/>
  <c r="AG59" i="14"/>
  <c r="V59" i="14"/>
  <c r="U59" i="14"/>
  <c r="AH58" i="14"/>
  <c r="AG58" i="14"/>
  <c r="V58" i="14"/>
  <c r="U58" i="14"/>
  <c r="AH57" i="14"/>
  <c r="AG57" i="14"/>
  <c r="V57" i="14"/>
  <c r="U57" i="14"/>
  <c r="AH56" i="14"/>
  <c r="AG56" i="14"/>
  <c r="V56" i="14"/>
  <c r="U56" i="14"/>
  <c r="AH55" i="14"/>
  <c r="AG55" i="14"/>
  <c r="V55" i="14"/>
  <c r="U55" i="14"/>
  <c r="AH54" i="14"/>
  <c r="AG54" i="14"/>
  <c r="V54" i="14"/>
  <c r="U54" i="14"/>
  <c r="AH53" i="14"/>
  <c r="AG53" i="14"/>
  <c r="V53" i="14"/>
  <c r="U53" i="14"/>
  <c r="AH52" i="14"/>
  <c r="AG52" i="14"/>
  <c r="V52" i="14"/>
  <c r="U52" i="14"/>
  <c r="AH51" i="14"/>
  <c r="AG51" i="14"/>
  <c r="V51" i="14"/>
  <c r="U51" i="14"/>
  <c r="AH50" i="14"/>
  <c r="AG50" i="14"/>
  <c r="V50" i="14"/>
  <c r="U50" i="14"/>
  <c r="AH49" i="14"/>
  <c r="AG49" i="14"/>
  <c r="V49" i="14"/>
  <c r="U49" i="14"/>
  <c r="AH48" i="14"/>
  <c r="AG48" i="14"/>
  <c r="AB48" i="14"/>
  <c r="AD48" i="14" s="1"/>
  <c r="AA48" i="14"/>
  <c r="AC48" i="14" s="1"/>
  <c r="V48" i="14"/>
  <c r="U48" i="14"/>
  <c r="AH46" i="14"/>
  <c r="AG46" i="14"/>
  <c r="V46" i="14"/>
  <c r="U46" i="14"/>
  <c r="AH45" i="14"/>
  <c r="AG45" i="14"/>
  <c r="V45" i="14"/>
  <c r="U45" i="14"/>
  <c r="AH44" i="14"/>
  <c r="AG44" i="14"/>
  <c r="V44" i="14"/>
  <c r="U44" i="14"/>
  <c r="AH43" i="14"/>
  <c r="AG43" i="14"/>
  <c r="V43" i="14"/>
  <c r="U43" i="14"/>
  <c r="AH42" i="14"/>
  <c r="AG42" i="14"/>
  <c r="V42" i="14"/>
  <c r="U42" i="14"/>
  <c r="AH41" i="14"/>
  <c r="AG41" i="14"/>
  <c r="V41" i="14"/>
  <c r="U41" i="14"/>
  <c r="AH39" i="14"/>
  <c r="AG39" i="14"/>
  <c r="V39" i="14"/>
  <c r="U39" i="14"/>
  <c r="AH38" i="14"/>
  <c r="AG38" i="14"/>
  <c r="V38" i="14"/>
  <c r="U38" i="14"/>
  <c r="AH37" i="14"/>
  <c r="AG37" i="14"/>
  <c r="V37" i="14"/>
  <c r="U37" i="14"/>
  <c r="AH36" i="14"/>
  <c r="AG36" i="14"/>
  <c r="V36" i="14"/>
  <c r="U36" i="14"/>
  <c r="AH35" i="14"/>
  <c r="AG35" i="14"/>
  <c r="V35" i="14"/>
  <c r="U35" i="14"/>
  <c r="AH34" i="14"/>
  <c r="AG34" i="14"/>
  <c r="V34" i="14"/>
  <c r="U34" i="14"/>
  <c r="AH60" i="3"/>
  <c r="AG60" i="3"/>
  <c r="AB60" i="3"/>
  <c r="AA60" i="3"/>
  <c r="V60" i="3"/>
  <c r="U60" i="3"/>
  <c r="AH59" i="3"/>
  <c r="AG59" i="3"/>
  <c r="AB59" i="3"/>
  <c r="AA59" i="3"/>
  <c r="V59" i="3"/>
  <c r="U59" i="3"/>
  <c r="AH58" i="3"/>
  <c r="AG58" i="3"/>
  <c r="AB58" i="3"/>
  <c r="AA58" i="3"/>
  <c r="V58" i="3"/>
  <c r="U58" i="3"/>
  <c r="AH57" i="3"/>
  <c r="AG57" i="3"/>
  <c r="AB57" i="3"/>
  <c r="AA57" i="3"/>
  <c r="V57" i="3"/>
  <c r="U57" i="3"/>
  <c r="AH56" i="3"/>
  <c r="AG56" i="3"/>
  <c r="AB56" i="3"/>
  <c r="AA56" i="3"/>
  <c r="V56" i="3"/>
  <c r="U56" i="3"/>
  <c r="AH55" i="3"/>
  <c r="AG55" i="3"/>
  <c r="AB55" i="3"/>
  <c r="AA55" i="3"/>
  <c r="V55" i="3"/>
  <c r="U55" i="3"/>
  <c r="AH54" i="3"/>
  <c r="AG54" i="3"/>
  <c r="AB54" i="3"/>
  <c r="AA54" i="3"/>
  <c r="V54" i="3"/>
  <c r="U54" i="3"/>
  <c r="AH53" i="3"/>
  <c r="AG53" i="3"/>
  <c r="AB53" i="3"/>
  <c r="AA53" i="3"/>
  <c r="V53" i="3"/>
  <c r="U53" i="3"/>
  <c r="AH52" i="3"/>
  <c r="AG52" i="3"/>
  <c r="AB52" i="3"/>
  <c r="AA52" i="3"/>
  <c r="V52" i="3"/>
  <c r="U52" i="3"/>
  <c r="AH51" i="3"/>
  <c r="AG51" i="3"/>
  <c r="AB51" i="3"/>
  <c r="AA51" i="3"/>
  <c r="V51" i="3"/>
  <c r="U51" i="3"/>
  <c r="AH50" i="3"/>
  <c r="AG50" i="3"/>
  <c r="AB50" i="3"/>
  <c r="AA50" i="3"/>
  <c r="V50" i="3"/>
  <c r="U50" i="3"/>
  <c r="AH49" i="3"/>
  <c r="AG49" i="3"/>
  <c r="AB49" i="3"/>
  <c r="AA49" i="3"/>
  <c r="V49" i="3"/>
  <c r="U49" i="3"/>
  <c r="AH48" i="3"/>
  <c r="AG48" i="3"/>
  <c r="AB48" i="3"/>
  <c r="AA48" i="3"/>
  <c r="V48" i="3"/>
  <c r="U48" i="3"/>
  <c r="AH46" i="3"/>
  <c r="AG46" i="3"/>
  <c r="AB46" i="3"/>
  <c r="AA46" i="3"/>
  <c r="V46" i="3"/>
  <c r="U46" i="3"/>
  <c r="AH45" i="3"/>
  <c r="AG45" i="3"/>
  <c r="AB45" i="3"/>
  <c r="AA45" i="3"/>
  <c r="V45" i="3"/>
  <c r="U45" i="3"/>
  <c r="AH44" i="3"/>
  <c r="AG44" i="3"/>
  <c r="AB44" i="3"/>
  <c r="AA44" i="3"/>
  <c r="V44" i="3"/>
  <c r="U44" i="3"/>
  <c r="AH43" i="3"/>
  <c r="AG43" i="3"/>
  <c r="AB43" i="3"/>
  <c r="AA43" i="3"/>
  <c r="V43" i="3"/>
  <c r="U43" i="3"/>
  <c r="AH42" i="3"/>
  <c r="AG42" i="3"/>
  <c r="AB42" i="3"/>
  <c r="AA42" i="3"/>
  <c r="V42" i="3"/>
  <c r="U42" i="3"/>
  <c r="AH41" i="3"/>
  <c r="AG41" i="3"/>
  <c r="AB41" i="3"/>
  <c r="AA41" i="3"/>
  <c r="V41" i="3"/>
  <c r="U41" i="3"/>
  <c r="AH39" i="3"/>
  <c r="AG39" i="3"/>
  <c r="AB39" i="3"/>
  <c r="AA39" i="3"/>
  <c r="V39" i="3"/>
  <c r="U39" i="3"/>
  <c r="AH38" i="3"/>
  <c r="AG38" i="3"/>
  <c r="AB38" i="3"/>
  <c r="AA38" i="3"/>
  <c r="V38" i="3"/>
  <c r="U38" i="3"/>
  <c r="AH37" i="3"/>
  <c r="AG37" i="3"/>
  <c r="AB37" i="3"/>
  <c r="AA37" i="3"/>
  <c r="V37" i="3"/>
  <c r="U37" i="3"/>
  <c r="AH36" i="3"/>
  <c r="AG36" i="3"/>
  <c r="AB36" i="3"/>
  <c r="AA36" i="3"/>
  <c r="V36" i="3"/>
  <c r="U36" i="3"/>
  <c r="AH35" i="3"/>
  <c r="AG35" i="3"/>
  <c r="AB35" i="3"/>
  <c r="AA35" i="3"/>
  <c r="V35" i="3"/>
  <c r="U35" i="3"/>
  <c r="AH34" i="3"/>
  <c r="AG34" i="3"/>
  <c r="AB34" i="3"/>
  <c r="AA34" i="3"/>
  <c r="V34" i="3"/>
  <c r="U34" i="3"/>
  <c r="AH60" i="13"/>
  <c r="AG60" i="13"/>
  <c r="AB60" i="13"/>
  <c r="AA60" i="13"/>
  <c r="V60" i="13"/>
  <c r="U60" i="13"/>
  <c r="AH59" i="13"/>
  <c r="AG59" i="13"/>
  <c r="AB59" i="13"/>
  <c r="AA59" i="13"/>
  <c r="V59" i="13"/>
  <c r="U59" i="13"/>
  <c r="AH58" i="13"/>
  <c r="AG58" i="13"/>
  <c r="AB58" i="13"/>
  <c r="AA58" i="13"/>
  <c r="V58" i="13"/>
  <c r="U58" i="13"/>
  <c r="AH57" i="13"/>
  <c r="AG57" i="13"/>
  <c r="AB57" i="13"/>
  <c r="AA57" i="13"/>
  <c r="V57" i="13"/>
  <c r="U57" i="13"/>
  <c r="AH56" i="13"/>
  <c r="AG56" i="13"/>
  <c r="AB56" i="13"/>
  <c r="AA56" i="13"/>
  <c r="V56" i="13"/>
  <c r="U56" i="13"/>
  <c r="AH55" i="13"/>
  <c r="AG55" i="13"/>
  <c r="AB55" i="13"/>
  <c r="AA55" i="13"/>
  <c r="V55" i="13"/>
  <c r="U55" i="13"/>
  <c r="AH54" i="13"/>
  <c r="AG54" i="13"/>
  <c r="AB54" i="13"/>
  <c r="AA54" i="13"/>
  <c r="V54" i="13"/>
  <c r="U54" i="13"/>
  <c r="AH53" i="13"/>
  <c r="AG53" i="13"/>
  <c r="AB53" i="13"/>
  <c r="AA53" i="13"/>
  <c r="V53" i="13"/>
  <c r="U53" i="13"/>
  <c r="AH52" i="13"/>
  <c r="AG52" i="13"/>
  <c r="AB52" i="13"/>
  <c r="AA52" i="13"/>
  <c r="V52" i="13"/>
  <c r="U52" i="13"/>
  <c r="AH51" i="13"/>
  <c r="AG51" i="13"/>
  <c r="AB51" i="13"/>
  <c r="AA51" i="13"/>
  <c r="V51" i="13"/>
  <c r="U51" i="13"/>
  <c r="AH50" i="13"/>
  <c r="AG50" i="13"/>
  <c r="AB50" i="13"/>
  <c r="AA50" i="13"/>
  <c r="V50" i="13"/>
  <c r="U50" i="13"/>
  <c r="AH49" i="13"/>
  <c r="AG49" i="13"/>
  <c r="AB49" i="13"/>
  <c r="AA49" i="13"/>
  <c r="V49" i="13"/>
  <c r="U49" i="13"/>
  <c r="AH48" i="13"/>
  <c r="AG48" i="13"/>
  <c r="AB48" i="13"/>
  <c r="AA48" i="13"/>
  <c r="V48" i="13"/>
  <c r="U48" i="13"/>
  <c r="AH46" i="13"/>
  <c r="AG46" i="13"/>
  <c r="AB46" i="13"/>
  <c r="AA46" i="13"/>
  <c r="V46" i="13"/>
  <c r="U46" i="13"/>
  <c r="AH45" i="13"/>
  <c r="AG45" i="13"/>
  <c r="AB45" i="13"/>
  <c r="AA45" i="13"/>
  <c r="V45" i="13"/>
  <c r="U45" i="13"/>
  <c r="AH44" i="13"/>
  <c r="AG44" i="13"/>
  <c r="AB44" i="13"/>
  <c r="AA44" i="13"/>
  <c r="V44" i="13"/>
  <c r="U44" i="13"/>
  <c r="AH43" i="13"/>
  <c r="AG43" i="13"/>
  <c r="AB43" i="13"/>
  <c r="AA43" i="13"/>
  <c r="V43" i="13"/>
  <c r="U43" i="13"/>
  <c r="AH42" i="13"/>
  <c r="AG42" i="13"/>
  <c r="AB42" i="13"/>
  <c r="AA42" i="13"/>
  <c r="V42" i="13"/>
  <c r="U42" i="13"/>
  <c r="AH41" i="13"/>
  <c r="AG41" i="13"/>
  <c r="AB41" i="13"/>
  <c r="AA41" i="13"/>
  <c r="V41" i="13"/>
  <c r="U41" i="13"/>
  <c r="AH39" i="13"/>
  <c r="AG39" i="13"/>
  <c r="AB39" i="13"/>
  <c r="AA39" i="13"/>
  <c r="V39" i="13"/>
  <c r="U39" i="13"/>
  <c r="AH38" i="13"/>
  <c r="AG38" i="13"/>
  <c r="AB38" i="13"/>
  <c r="AA38" i="13"/>
  <c r="V38" i="13"/>
  <c r="U38" i="13"/>
  <c r="AH37" i="13"/>
  <c r="AG37" i="13"/>
  <c r="AB37" i="13"/>
  <c r="AA37" i="13"/>
  <c r="V37" i="13"/>
  <c r="U37" i="13"/>
  <c r="AH36" i="13"/>
  <c r="AG36" i="13"/>
  <c r="AB36" i="13"/>
  <c r="AA36" i="13"/>
  <c r="V36" i="13"/>
  <c r="U36" i="13"/>
  <c r="AH35" i="13"/>
  <c r="AG35" i="13"/>
  <c r="AB35" i="13"/>
  <c r="AA35" i="13"/>
  <c r="V35" i="13"/>
  <c r="U35" i="13"/>
  <c r="AH34" i="13"/>
  <c r="AG34" i="13"/>
  <c r="AB34" i="13"/>
  <c r="AA34" i="13"/>
  <c r="V34" i="13"/>
  <c r="U34" i="13"/>
  <c r="AA34" i="14" l="1"/>
  <c r="AC34" i="14" s="1"/>
  <c r="AA41" i="14"/>
  <c r="AC41" i="14" s="1"/>
  <c r="AF60" i="14"/>
  <c r="Z60" i="14"/>
  <c r="T60" i="14"/>
  <c r="N60" i="14"/>
  <c r="H60" i="14"/>
  <c r="B60" i="14"/>
  <c r="C60" i="14" s="1"/>
  <c r="AF59" i="14"/>
  <c r="Z59" i="14"/>
  <c r="T59" i="14"/>
  <c r="N59" i="14"/>
  <c r="H59" i="14"/>
  <c r="J59" i="14" s="1"/>
  <c r="L59" i="14" s="1"/>
  <c r="B59" i="14"/>
  <c r="D59" i="14" s="1"/>
  <c r="AF58" i="14"/>
  <c r="Z58" i="14"/>
  <c r="T58" i="14"/>
  <c r="N58" i="14"/>
  <c r="H58" i="14"/>
  <c r="B58" i="14"/>
  <c r="D58" i="14" s="1"/>
  <c r="AF57" i="14"/>
  <c r="Z57" i="14"/>
  <c r="T57" i="14"/>
  <c r="N57" i="14"/>
  <c r="H57" i="14"/>
  <c r="I57" i="14" s="1"/>
  <c r="K57" i="14" s="1"/>
  <c r="B57" i="14"/>
  <c r="C57" i="14" s="1"/>
  <c r="AF56" i="14"/>
  <c r="Z56" i="14"/>
  <c r="T56" i="14"/>
  <c r="N56" i="14"/>
  <c r="H56" i="14"/>
  <c r="B56" i="14"/>
  <c r="C56" i="14" s="1"/>
  <c r="AF55" i="14"/>
  <c r="Z55" i="14"/>
  <c r="T55" i="14"/>
  <c r="N55" i="14"/>
  <c r="H55" i="14"/>
  <c r="J55" i="14" s="1"/>
  <c r="L55" i="14" s="1"/>
  <c r="B55" i="14"/>
  <c r="D55" i="14" s="1"/>
  <c r="AF54" i="14"/>
  <c r="Z54" i="14"/>
  <c r="T54" i="14"/>
  <c r="N54" i="14"/>
  <c r="H54" i="14"/>
  <c r="B54" i="14"/>
  <c r="D54" i="14" s="1"/>
  <c r="AF53" i="14"/>
  <c r="Z53" i="14"/>
  <c r="T53" i="14"/>
  <c r="N53" i="14"/>
  <c r="H53" i="14"/>
  <c r="I53" i="14" s="1"/>
  <c r="K53" i="14" s="1"/>
  <c r="B53" i="14"/>
  <c r="C53" i="14" s="1"/>
  <c r="AF52" i="14"/>
  <c r="Z52" i="14"/>
  <c r="T52" i="14"/>
  <c r="N52" i="14"/>
  <c r="H52" i="14"/>
  <c r="B52" i="14"/>
  <c r="C52" i="14" s="1"/>
  <c r="AF51" i="14"/>
  <c r="Z51" i="14"/>
  <c r="T51" i="14"/>
  <c r="N51" i="14"/>
  <c r="H51" i="14"/>
  <c r="J51" i="14" s="1"/>
  <c r="L51" i="14" s="1"/>
  <c r="B51" i="14"/>
  <c r="D51" i="14" s="1"/>
  <c r="AF50" i="14"/>
  <c r="Z50" i="14"/>
  <c r="T50" i="14"/>
  <c r="N50" i="14"/>
  <c r="H50" i="14"/>
  <c r="B50" i="14"/>
  <c r="D50" i="14" s="1"/>
  <c r="AF49" i="14"/>
  <c r="Z49" i="14"/>
  <c r="T49" i="14"/>
  <c r="N49" i="14"/>
  <c r="H49" i="14"/>
  <c r="I49" i="14" s="1"/>
  <c r="K49" i="14" s="1"/>
  <c r="B49" i="14"/>
  <c r="C49" i="14" s="1"/>
  <c r="AH47" i="14"/>
  <c r="AB47" i="14"/>
  <c r="V47" i="14"/>
  <c r="P47" i="14"/>
  <c r="J47" i="14"/>
  <c r="D47" i="14"/>
  <c r="AF46" i="14"/>
  <c r="Z46" i="14"/>
  <c r="T46" i="14"/>
  <c r="N46" i="14"/>
  <c r="H46" i="14"/>
  <c r="J46" i="14" s="1"/>
  <c r="L46" i="14" s="1"/>
  <c r="B46" i="14"/>
  <c r="D46" i="14" s="1"/>
  <c r="AF45" i="14"/>
  <c r="Z45" i="14"/>
  <c r="T45" i="14"/>
  <c r="N45" i="14"/>
  <c r="H45" i="14"/>
  <c r="B45" i="14"/>
  <c r="D45" i="14" s="1"/>
  <c r="AF44" i="14"/>
  <c r="Z44" i="14"/>
  <c r="T44" i="14"/>
  <c r="N44" i="14"/>
  <c r="H44" i="14"/>
  <c r="I44" i="14" s="1"/>
  <c r="K44" i="14" s="1"/>
  <c r="B44" i="14"/>
  <c r="C44" i="14" s="1"/>
  <c r="AF43" i="14"/>
  <c r="Z43" i="14"/>
  <c r="T43" i="14"/>
  <c r="N43" i="14"/>
  <c r="H43" i="14"/>
  <c r="B43" i="14"/>
  <c r="C43" i="14" s="1"/>
  <c r="AF42" i="14"/>
  <c r="Z42" i="14"/>
  <c r="T42" i="14"/>
  <c r="N42" i="14"/>
  <c r="H42" i="14"/>
  <c r="J42" i="14" s="1"/>
  <c r="L42" i="14" s="1"/>
  <c r="B42" i="14"/>
  <c r="D42" i="14" s="1"/>
  <c r="AH40" i="14"/>
  <c r="AB40" i="14"/>
  <c r="V40" i="14"/>
  <c r="P40" i="14"/>
  <c r="J40" i="14"/>
  <c r="D40" i="14"/>
  <c r="AF39" i="14"/>
  <c r="Z39" i="14"/>
  <c r="T39" i="14"/>
  <c r="N39" i="14"/>
  <c r="H39" i="14"/>
  <c r="I39" i="14" s="1"/>
  <c r="K39" i="14" s="1"/>
  <c r="B39" i="14"/>
  <c r="C39" i="14" s="1"/>
  <c r="AF38" i="14"/>
  <c r="Z38" i="14"/>
  <c r="T38" i="14"/>
  <c r="N38" i="14"/>
  <c r="H38" i="14"/>
  <c r="B38" i="14"/>
  <c r="C38" i="14" s="1"/>
  <c r="AF37" i="14"/>
  <c r="Z37" i="14"/>
  <c r="T37" i="14"/>
  <c r="N37" i="14"/>
  <c r="H37" i="14"/>
  <c r="J37" i="14" s="1"/>
  <c r="L37" i="14" s="1"/>
  <c r="B37" i="14"/>
  <c r="D37" i="14" s="1"/>
  <c r="AF36" i="14"/>
  <c r="Z36" i="14"/>
  <c r="T36" i="14"/>
  <c r="N36" i="14"/>
  <c r="H36" i="14"/>
  <c r="B36" i="14"/>
  <c r="D36" i="14" s="1"/>
  <c r="AF35" i="14"/>
  <c r="Z35" i="14"/>
  <c r="T35" i="14"/>
  <c r="N35" i="14"/>
  <c r="H35" i="14"/>
  <c r="I35" i="14" s="1"/>
  <c r="K35" i="14" s="1"/>
  <c r="B35" i="14"/>
  <c r="C35" i="14" s="1"/>
  <c r="AH33" i="14"/>
  <c r="AB33" i="14"/>
  <c r="V33" i="14"/>
  <c r="P33" i="14"/>
  <c r="J33" i="14"/>
  <c r="D33" i="14"/>
  <c r="AF60" i="16"/>
  <c r="Z60" i="16"/>
  <c r="T60" i="16"/>
  <c r="N60" i="16"/>
  <c r="H60" i="16"/>
  <c r="J60" i="16" s="1"/>
  <c r="L60" i="16" s="1"/>
  <c r="B60" i="16"/>
  <c r="AF59" i="16"/>
  <c r="Z59" i="16"/>
  <c r="T59" i="16"/>
  <c r="N59" i="16"/>
  <c r="O59" i="16" s="1"/>
  <c r="H59" i="16"/>
  <c r="I59" i="16" s="1"/>
  <c r="K59" i="16" s="1"/>
  <c r="B59" i="16"/>
  <c r="D59" i="16" s="1"/>
  <c r="AF58" i="16"/>
  <c r="Z58" i="16"/>
  <c r="T58" i="16"/>
  <c r="N58" i="16"/>
  <c r="H58" i="16"/>
  <c r="J58" i="16" s="1"/>
  <c r="L58" i="16" s="1"/>
  <c r="B58" i="16"/>
  <c r="AF57" i="16"/>
  <c r="Z57" i="16"/>
  <c r="T57" i="16"/>
  <c r="N57" i="16"/>
  <c r="P57" i="16" s="1"/>
  <c r="H57" i="16"/>
  <c r="J57" i="16" s="1"/>
  <c r="L57" i="16" s="1"/>
  <c r="B57" i="16"/>
  <c r="D57" i="16" s="1"/>
  <c r="AF56" i="16"/>
  <c r="Z56" i="16"/>
  <c r="T56" i="16"/>
  <c r="N56" i="16"/>
  <c r="H56" i="16"/>
  <c r="J56" i="16" s="1"/>
  <c r="L56" i="16" s="1"/>
  <c r="B56" i="16"/>
  <c r="AF55" i="16"/>
  <c r="Z55" i="16"/>
  <c r="T55" i="16"/>
  <c r="N55" i="16"/>
  <c r="O55" i="16" s="1"/>
  <c r="H55" i="16"/>
  <c r="I55" i="16" s="1"/>
  <c r="K55" i="16" s="1"/>
  <c r="B55" i="16"/>
  <c r="D55" i="16" s="1"/>
  <c r="AF54" i="16"/>
  <c r="Z54" i="16"/>
  <c r="T54" i="16"/>
  <c r="N54" i="16"/>
  <c r="H54" i="16"/>
  <c r="J54" i="16" s="1"/>
  <c r="L54" i="16" s="1"/>
  <c r="B54" i="16"/>
  <c r="AF53" i="16"/>
  <c r="Z53" i="16"/>
  <c r="T53" i="16"/>
  <c r="N53" i="16"/>
  <c r="P53" i="16" s="1"/>
  <c r="H53" i="16"/>
  <c r="J53" i="16" s="1"/>
  <c r="L53" i="16" s="1"/>
  <c r="B53" i="16"/>
  <c r="C53" i="16" s="1"/>
  <c r="AF52" i="16"/>
  <c r="Z52" i="16"/>
  <c r="T52" i="16"/>
  <c r="N52" i="16"/>
  <c r="H52" i="16"/>
  <c r="J52" i="16" s="1"/>
  <c r="L52" i="16" s="1"/>
  <c r="B52" i="16"/>
  <c r="AF51" i="16"/>
  <c r="Z51" i="16"/>
  <c r="T51" i="16"/>
  <c r="N51" i="16"/>
  <c r="O51" i="16" s="1"/>
  <c r="H51" i="16"/>
  <c r="I51" i="16" s="1"/>
  <c r="K51" i="16" s="1"/>
  <c r="B51" i="16"/>
  <c r="C51" i="16" s="1"/>
  <c r="AF50" i="16"/>
  <c r="Z50" i="16"/>
  <c r="T50" i="16"/>
  <c r="N50" i="16"/>
  <c r="H50" i="16"/>
  <c r="J50" i="16" s="1"/>
  <c r="L50" i="16" s="1"/>
  <c r="B50" i="16"/>
  <c r="AF49" i="16"/>
  <c r="Z49" i="16"/>
  <c r="T49" i="16"/>
  <c r="N49" i="16"/>
  <c r="P49" i="16" s="1"/>
  <c r="H49" i="16"/>
  <c r="J49" i="16" s="1"/>
  <c r="L49" i="16" s="1"/>
  <c r="B49" i="16"/>
  <c r="C49" i="16" s="1"/>
  <c r="AH47" i="16"/>
  <c r="AB47" i="16"/>
  <c r="V47" i="16"/>
  <c r="P47" i="16"/>
  <c r="J47" i="16"/>
  <c r="D47" i="16"/>
  <c r="AF46" i="16"/>
  <c r="Z46" i="16"/>
  <c r="T46" i="16"/>
  <c r="N46" i="16"/>
  <c r="O46" i="16" s="1"/>
  <c r="H46" i="16"/>
  <c r="I46" i="16" s="1"/>
  <c r="K46" i="16" s="1"/>
  <c r="B46" i="16"/>
  <c r="C46" i="16" s="1"/>
  <c r="AF45" i="16"/>
  <c r="Z45" i="16"/>
  <c r="T45" i="16"/>
  <c r="N45" i="16"/>
  <c r="H45" i="16"/>
  <c r="J45" i="16" s="1"/>
  <c r="L45" i="16" s="1"/>
  <c r="B45" i="16"/>
  <c r="AF44" i="16"/>
  <c r="Z44" i="16"/>
  <c r="T44" i="16"/>
  <c r="N44" i="16"/>
  <c r="P44" i="16" s="1"/>
  <c r="H44" i="16"/>
  <c r="J44" i="16" s="1"/>
  <c r="L44" i="16" s="1"/>
  <c r="B44" i="16"/>
  <c r="D44" i="16" s="1"/>
  <c r="AF43" i="16"/>
  <c r="Z43" i="16"/>
  <c r="T43" i="16"/>
  <c r="N43" i="16"/>
  <c r="H43" i="16"/>
  <c r="J43" i="16" s="1"/>
  <c r="L43" i="16" s="1"/>
  <c r="B43" i="16"/>
  <c r="AF42" i="16"/>
  <c r="Z42" i="16"/>
  <c r="T42" i="16"/>
  <c r="N42" i="16"/>
  <c r="O42" i="16" s="1"/>
  <c r="H42" i="16"/>
  <c r="I42" i="16" s="1"/>
  <c r="K42" i="16" s="1"/>
  <c r="B42" i="16"/>
  <c r="D42" i="16" s="1"/>
  <c r="AH40" i="16"/>
  <c r="AB40" i="16"/>
  <c r="V40" i="16"/>
  <c r="P40" i="16"/>
  <c r="J40" i="16"/>
  <c r="D40" i="16"/>
  <c r="AF39" i="16"/>
  <c r="Z39" i="16"/>
  <c r="T39" i="16"/>
  <c r="N39" i="16"/>
  <c r="P39" i="16" s="1"/>
  <c r="H39" i="16"/>
  <c r="J39" i="16" s="1"/>
  <c r="L39" i="16" s="1"/>
  <c r="B39" i="16"/>
  <c r="D39" i="16" s="1"/>
  <c r="AF38" i="16"/>
  <c r="Z38" i="16"/>
  <c r="T38" i="16"/>
  <c r="N38" i="16"/>
  <c r="H38" i="16"/>
  <c r="J38" i="16" s="1"/>
  <c r="L38" i="16" s="1"/>
  <c r="B38" i="16"/>
  <c r="AF37" i="16"/>
  <c r="Z37" i="16"/>
  <c r="T37" i="16"/>
  <c r="N37" i="16"/>
  <c r="O37" i="16" s="1"/>
  <c r="H37" i="16"/>
  <c r="I37" i="16" s="1"/>
  <c r="K37" i="16" s="1"/>
  <c r="B37" i="16"/>
  <c r="C37" i="16" s="1"/>
  <c r="AF36" i="16"/>
  <c r="Z36" i="16"/>
  <c r="T36" i="16"/>
  <c r="N36" i="16"/>
  <c r="H36" i="16"/>
  <c r="J36" i="16" s="1"/>
  <c r="L36" i="16" s="1"/>
  <c r="B36" i="16"/>
  <c r="AF35" i="16"/>
  <c r="Z35" i="16"/>
  <c r="T35" i="16"/>
  <c r="N35" i="16"/>
  <c r="P35" i="16" s="1"/>
  <c r="H35" i="16"/>
  <c r="J35" i="16" s="1"/>
  <c r="L35" i="16" s="1"/>
  <c r="B35" i="16"/>
  <c r="D35" i="16" s="1"/>
  <c r="AH33" i="16"/>
  <c r="AB33" i="16"/>
  <c r="V33" i="16"/>
  <c r="P33" i="16"/>
  <c r="J33" i="16"/>
  <c r="D33" i="16"/>
  <c r="AF60" i="3"/>
  <c r="Z60" i="3"/>
  <c r="T60" i="3"/>
  <c r="N60" i="3"/>
  <c r="H60" i="3"/>
  <c r="B60" i="3"/>
  <c r="AF59" i="3"/>
  <c r="Z59" i="3"/>
  <c r="T59" i="3"/>
  <c r="N59" i="3"/>
  <c r="H59" i="3"/>
  <c r="I59" i="3" s="1"/>
  <c r="B59" i="3"/>
  <c r="C59" i="3" s="1"/>
  <c r="E59" i="3" s="1"/>
  <c r="AF58" i="3"/>
  <c r="Z58" i="3"/>
  <c r="T58" i="3"/>
  <c r="N58" i="3"/>
  <c r="H58" i="3"/>
  <c r="B58" i="3"/>
  <c r="AF57" i="3"/>
  <c r="Z57" i="3"/>
  <c r="T57" i="3"/>
  <c r="N57" i="3"/>
  <c r="H57" i="3"/>
  <c r="I57" i="3" s="1"/>
  <c r="B57" i="3"/>
  <c r="C57" i="3" s="1"/>
  <c r="E57" i="3" s="1"/>
  <c r="AF56" i="3"/>
  <c r="Z56" i="3"/>
  <c r="T56" i="3"/>
  <c r="N56" i="3"/>
  <c r="H56" i="3"/>
  <c r="B56" i="3"/>
  <c r="AF55" i="3"/>
  <c r="Z55" i="3"/>
  <c r="T55" i="3"/>
  <c r="N55" i="3"/>
  <c r="H55" i="3"/>
  <c r="I55" i="3" s="1"/>
  <c r="B55" i="3"/>
  <c r="C55" i="3" s="1"/>
  <c r="E55" i="3" s="1"/>
  <c r="AF54" i="3"/>
  <c r="Z54" i="3"/>
  <c r="T54" i="3"/>
  <c r="N54" i="3"/>
  <c r="H54" i="3"/>
  <c r="B54" i="3"/>
  <c r="AF53" i="3"/>
  <c r="Z53" i="3"/>
  <c r="T53" i="3"/>
  <c r="N53" i="3"/>
  <c r="H53" i="3"/>
  <c r="I53" i="3" s="1"/>
  <c r="B53" i="3"/>
  <c r="C53" i="3" s="1"/>
  <c r="E53" i="3" s="1"/>
  <c r="AF52" i="3"/>
  <c r="Z52" i="3"/>
  <c r="T52" i="3"/>
  <c r="N52" i="3"/>
  <c r="H52" i="3"/>
  <c r="B52" i="3"/>
  <c r="AF51" i="3"/>
  <c r="Z51" i="3"/>
  <c r="T51" i="3"/>
  <c r="N51" i="3"/>
  <c r="H51" i="3"/>
  <c r="I51" i="3" s="1"/>
  <c r="B51" i="3"/>
  <c r="C51" i="3" s="1"/>
  <c r="E51" i="3" s="1"/>
  <c r="AF50" i="3"/>
  <c r="Z50" i="3"/>
  <c r="T50" i="3"/>
  <c r="N50" i="3"/>
  <c r="H50" i="3"/>
  <c r="B50" i="3"/>
  <c r="AF49" i="3"/>
  <c r="Z49" i="3"/>
  <c r="T49" i="3"/>
  <c r="N49" i="3"/>
  <c r="H49" i="3"/>
  <c r="I49" i="3" s="1"/>
  <c r="B49" i="3"/>
  <c r="C49" i="3" s="1"/>
  <c r="E49" i="3" s="1"/>
  <c r="AH47" i="3"/>
  <c r="AB47" i="3"/>
  <c r="V47" i="3"/>
  <c r="P47" i="3"/>
  <c r="J47" i="3"/>
  <c r="D47" i="3"/>
  <c r="AF46" i="3"/>
  <c r="Z46" i="3"/>
  <c r="T46" i="3"/>
  <c r="N46" i="3"/>
  <c r="H46" i="3"/>
  <c r="I46" i="3" s="1"/>
  <c r="B46" i="3"/>
  <c r="C46" i="3" s="1"/>
  <c r="E46" i="3" s="1"/>
  <c r="G46" i="3" s="1"/>
  <c r="AF45" i="3"/>
  <c r="Z45" i="3"/>
  <c r="T45" i="3"/>
  <c r="N45" i="3"/>
  <c r="H45" i="3"/>
  <c r="B45" i="3"/>
  <c r="AF44" i="3"/>
  <c r="Z44" i="3"/>
  <c r="T44" i="3"/>
  <c r="N44" i="3"/>
  <c r="H44" i="3"/>
  <c r="I44" i="3" s="1"/>
  <c r="B44" i="3"/>
  <c r="C44" i="3" s="1"/>
  <c r="E44" i="3" s="1"/>
  <c r="AF43" i="3"/>
  <c r="Z43" i="3"/>
  <c r="T43" i="3"/>
  <c r="N43" i="3"/>
  <c r="H43" i="3"/>
  <c r="B43" i="3"/>
  <c r="AF42" i="3"/>
  <c r="Z42" i="3"/>
  <c r="T42" i="3"/>
  <c r="N42" i="3"/>
  <c r="H42" i="3"/>
  <c r="I42" i="3" s="1"/>
  <c r="B42" i="3"/>
  <c r="D42" i="3" s="1"/>
  <c r="F42" i="3" s="1"/>
  <c r="AH40" i="3"/>
  <c r="AB40" i="3"/>
  <c r="V40" i="3"/>
  <c r="P40" i="3"/>
  <c r="J40" i="3"/>
  <c r="D40" i="3"/>
  <c r="AF39" i="3"/>
  <c r="Z39" i="3"/>
  <c r="T39" i="3"/>
  <c r="N39" i="3"/>
  <c r="H39" i="3"/>
  <c r="I39" i="3" s="1"/>
  <c r="B39" i="3"/>
  <c r="C39" i="3" s="1"/>
  <c r="E39" i="3" s="1"/>
  <c r="AF38" i="3"/>
  <c r="Z38" i="3"/>
  <c r="T38" i="3"/>
  <c r="N38" i="3"/>
  <c r="H38" i="3"/>
  <c r="B38" i="3"/>
  <c r="AF37" i="3"/>
  <c r="Z37" i="3"/>
  <c r="T37" i="3"/>
  <c r="N37" i="3"/>
  <c r="H37" i="3"/>
  <c r="I37" i="3" s="1"/>
  <c r="B37" i="3"/>
  <c r="C37" i="3" s="1"/>
  <c r="E37" i="3" s="1"/>
  <c r="AF36" i="3"/>
  <c r="Z36" i="3"/>
  <c r="T36" i="3"/>
  <c r="N36" i="3"/>
  <c r="H36" i="3"/>
  <c r="B36" i="3"/>
  <c r="AF35" i="3"/>
  <c r="Z35" i="3"/>
  <c r="T35" i="3"/>
  <c r="N35" i="3"/>
  <c r="H35" i="3"/>
  <c r="I35" i="3" s="1"/>
  <c r="B35" i="3"/>
  <c r="C35" i="3" s="1"/>
  <c r="E35" i="3" s="1"/>
  <c r="AH33" i="3"/>
  <c r="AB33" i="3"/>
  <c r="V33" i="3"/>
  <c r="P33" i="3"/>
  <c r="J33" i="3"/>
  <c r="D33" i="3"/>
  <c r="AF60" i="13"/>
  <c r="Z60" i="13"/>
  <c r="T60" i="13"/>
  <c r="N60" i="13"/>
  <c r="H60" i="13"/>
  <c r="J60" i="13" s="1"/>
  <c r="B60" i="13"/>
  <c r="AF59" i="13"/>
  <c r="Z59" i="13"/>
  <c r="T59" i="13"/>
  <c r="N59" i="13"/>
  <c r="H59" i="13"/>
  <c r="J59" i="13" s="1"/>
  <c r="B59" i="13"/>
  <c r="AF58" i="13"/>
  <c r="Z58" i="13"/>
  <c r="T58" i="13"/>
  <c r="X58" i="13" s="1"/>
  <c r="N58" i="13"/>
  <c r="H58" i="13"/>
  <c r="J58" i="13" s="1"/>
  <c r="B58" i="13"/>
  <c r="AF57" i="13"/>
  <c r="Z57" i="13"/>
  <c r="T57" i="13"/>
  <c r="N57" i="13"/>
  <c r="H57" i="13"/>
  <c r="I57" i="13" s="1"/>
  <c r="B57" i="13"/>
  <c r="AF56" i="13"/>
  <c r="Z56" i="13"/>
  <c r="T56" i="13"/>
  <c r="X56" i="13" s="1"/>
  <c r="N56" i="13"/>
  <c r="H56" i="13"/>
  <c r="J56" i="13" s="1"/>
  <c r="B56" i="13"/>
  <c r="AF55" i="13"/>
  <c r="Z55" i="13"/>
  <c r="T55" i="13"/>
  <c r="N55" i="13"/>
  <c r="H55" i="13"/>
  <c r="J55" i="13" s="1"/>
  <c r="B55" i="13"/>
  <c r="AF54" i="13"/>
  <c r="Z54" i="13"/>
  <c r="T54" i="13"/>
  <c r="X54" i="13" s="1"/>
  <c r="N54" i="13"/>
  <c r="H54" i="13"/>
  <c r="J54" i="13" s="1"/>
  <c r="B54" i="13"/>
  <c r="AF53" i="13"/>
  <c r="Z53" i="13"/>
  <c r="T53" i="13"/>
  <c r="N53" i="13"/>
  <c r="H53" i="13"/>
  <c r="I53" i="13" s="1"/>
  <c r="B53" i="13"/>
  <c r="AF52" i="13"/>
  <c r="Z52" i="13"/>
  <c r="T52" i="13"/>
  <c r="X52" i="13" s="1"/>
  <c r="N52" i="13"/>
  <c r="H52" i="13"/>
  <c r="J52" i="13" s="1"/>
  <c r="B52" i="13"/>
  <c r="AF51" i="13"/>
  <c r="Z51" i="13"/>
  <c r="T51" i="13"/>
  <c r="N51" i="13"/>
  <c r="H51" i="13"/>
  <c r="J51" i="13" s="1"/>
  <c r="B51" i="13"/>
  <c r="AF50" i="13"/>
  <c r="Z50" i="13"/>
  <c r="T50" i="13"/>
  <c r="N50" i="13"/>
  <c r="H50" i="13"/>
  <c r="J50" i="13" s="1"/>
  <c r="B50" i="13"/>
  <c r="AF49" i="13"/>
  <c r="Z49" i="13"/>
  <c r="T49" i="13"/>
  <c r="X49" i="13" s="1"/>
  <c r="N49" i="13"/>
  <c r="H49" i="13"/>
  <c r="I49" i="13" s="1"/>
  <c r="B49" i="13"/>
  <c r="AH47" i="13"/>
  <c r="AB47" i="13"/>
  <c r="V47" i="13"/>
  <c r="P47" i="13"/>
  <c r="J47" i="13"/>
  <c r="D47" i="13"/>
  <c r="AF46" i="13"/>
  <c r="Z46" i="13"/>
  <c r="T46" i="13"/>
  <c r="X46" i="13" s="1"/>
  <c r="N46" i="13"/>
  <c r="H46" i="13"/>
  <c r="J46" i="13" s="1"/>
  <c r="B46" i="13"/>
  <c r="AF45" i="13"/>
  <c r="Z45" i="13"/>
  <c r="T45" i="13"/>
  <c r="N45" i="13"/>
  <c r="H45" i="13"/>
  <c r="J45" i="13" s="1"/>
  <c r="B45" i="13"/>
  <c r="AF44" i="13"/>
  <c r="Z44" i="13"/>
  <c r="AD44" i="13" s="1"/>
  <c r="T44" i="13"/>
  <c r="N44" i="13"/>
  <c r="H44" i="13"/>
  <c r="I44" i="13" s="1"/>
  <c r="B44" i="13"/>
  <c r="AF43" i="13"/>
  <c r="Z43" i="13"/>
  <c r="AD43" i="13" s="1"/>
  <c r="T43" i="13"/>
  <c r="N43" i="13"/>
  <c r="H43" i="13"/>
  <c r="J43" i="13" s="1"/>
  <c r="B43" i="13"/>
  <c r="AF42" i="13"/>
  <c r="Z42" i="13"/>
  <c r="AD42" i="13" s="1"/>
  <c r="T42" i="13"/>
  <c r="N42" i="13"/>
  <c r="H42" i="13"/>
  <c r="J42" i="13" s="1"/>
  <c r="L42" i="13" s="1"/>
  <c r="B42" i="13"/>
  <c r="AH40" i="13"/>
  <c r="AB40" i="13"/>
  <c r="V40" i="13"/>
  <c r="P40" i="13"/>
  <c r="J40" i="13"/>
  <c r="D40" i="13"/>
  <c r="AF39" i="13"/>
  <c r="Z39" i="13"/>
  <c r="T39" i="13"/>
  <c r="X39" i="13" s="1"/>
  <c r="N39" i="13"/>
  <c r="H39" i="13"/>
  <c r="I39" i="13" s="1"/>
  <c r="B39" i="13"/>
  <c r="AF38" i="13"/>
  <c r="Z38" i="13"/>
  <c r="T38" i="13"/>
  <c r="N38" i="13"/>
  <c r="H38" i="13"/>
  <c r="J38" i="13" s="1"/>
  <c r="B38" i="13"/>
  <c r="AF37" i="13"/>
  <c r="Z37" i="13"/>
  <c r="T37" i="13"/>
  <c r="X37" i="13" s="1"/>
  <c r="N37" i="13"/>
  <c r="H37" i="13"/>
  <c r="J37" i="13" s="1"/>
  <c r="L37" i="13" s="1"/>
  <c r="B37" i="13"/>
  <c r="AF36" i="13"/>
  <c r="Z36" i="13"/>
  <c r="T36" i="13"/>
  <c r="X36" i="13" s="1"/>
  <c r="N36" i="13"/>
  <c r="O36" i="13" s="1"/>
  <c r="Q36" i="13" s="1"/>
  <c r="H36" i="13"/>
  <c r="J36" i="13" s="1"/>
  <c r="L36" i="13" s="1"/>
  <c r="B36" i="13"/>
  <c r="AF35" i="13"/>
  <c r="Z35" i="13"/>
  <c r="T35" i="13"/>
  <c r="X35" i="13" s="1"/>
  <c r="N35" i="13"/>
  <c r="H35" i="13"/>
  <c r="J35" i="13" s="1"/>
  <c r="B35" i="13"/>
  <c r="AH33" i="13"/>
  <c r="AB33" i="13"/>
  <c r="V33" i="13"/>
  <c r="P33" i="13"/>
  <c r="J33" i="13"/>
  <c r="D33" i="13"/>
  <c r="D35" i="13"/>
  <c r="F35" i="13" s="1"/>
  <c r="D36" i="13"/>
  <c r="F36" i="13" s="1"/>
  <c r="P60" i="13"/>
  <c r="D60" i="13"/>
  <c r="P59" i="13"/>
  <c r="D59" i="13"/>
  <c r="P58" i="13"/>
  <c r="D58" i="13"/>
  <c r="F58" i="13" s="1"/>
  <c r="P57" i="13"/>
  <c r="D57" i="13"/>
  <c r="F57" i="13" s="1"/>
  <c r="P56" i="13"/>
  <c r="D56" i="13"/>
  <c r="P55" i="13"/>
  <c r="D55" i="13"/>
  <c r="P54" i="13"/>
  <c r="D54" i="13"/>
  <c r="F54" i="13" s="1"/>
  <c r="P53" i="13"/>
  <c r="D53" i="13"/>
  <c r="F53" i="13" s="1"/>
  <c r="P52" i="13"/>
  <c r="D52" i="13"/>
  <c r="P51" i="13"/>
  <c r="D51" i="13"/>
  <c r="F51" i="13" s="1"/>
  <c r="P50" i="13"/>
  <c r="D50" i="13"/>
  <c r="P49" i="13"/>
  <c r="D49" i="13"/>
  <c r="F49" i="13" s="1"/>
  <c r="P48" i="13"/>
  <c r="J48" i="13"/>
  <c r="D48" i="13"/>
  <c r="P46" i="13"/>
  <c r="D46" i="13"/>
  <c r="P45" i="13"/>
  <c r="D45" i="13"/>
  <c r="P44" i="13"/>
  <c r="D44" i="13"/>
  <c r="F44" i="13" s="1"/>
  <c r="P43" i="13"/>
  <c r="D43" i="13"/>
  <c r="F43" i="13" s="1"/>
  <c r="G43" i="13" s="1"/>
  <c r="P42" i="13"/>
  <c r="D42" i="13"/>
  <c r="F42" i="13" s="1"/>
  <c r="P41" i="13"/>
  <c r="R41" i="13" s="1"/>
  <c r="J41" i="13"/>
  <c r="D41" i="13"/>
  <c r="P39" i="13"/>
  <c r="D39" i="13"/>
  <c r="F39" i="13" s="1"/>
  <c r="P38" i="13"/>
  <c r="D38" i="13"/>
  <c r="P37" i="13"/>
  <c r="D37" i="13"/>
  <c r="F37" i="13" s="1"/>
  <c r="P36" i="13"/>
  <c r="P35" i="13"/>
  <c r="P34" i="13"/>
  <c r="J34" i="13"/>
  <c r="D34" i="13"/>
  <c r="P60" i="3"/>
  <c r="J60" i="3"/>
  <c r="D60" i="3"/>
  <c r="P59" i="3"/>
  <c r="J59" i="3"/>
  <c r="D59" i="3"/>
  <c r="F59" i="3" s="1"/>
  <c r="P58" i="3"/>
  <c r="J58" i="3"/>
  <c r="D58" i="3"/>
  <c r="P57" i="3"/>
  <c r="P56" i="3"/>
  <c r="J56" i="3"/>
  <c r="D56" i="3"/>
  <c r="P55" i="3"/>
  <c r="J55" i="3"/>
  <c r="D55" i="3"/>
  <c r="F55" i="3" s="1"/>
  <c r="P54" i="3"/>
  <c r="J54" i="3"/>
  <c r="D54" i="3"/>
  <c r="F54" i="3" s="1"/>
  <c r="P53" i="3"/>
  <c r="P52" i="3"/>
  <c r="J52" i="3"/>
  <c r="D52" i="3"/>
  <c r="P51" i="3"/>
  <c r="J51" i="3"/>
  <c r="D51" i="3"/>
  <c r="F51" i="3" s="1"/>
  <c r="P50" i="3"/>
  <c r="J50" i="3"/>
  <c r="D50" i="3"/>
  <c r="F50" i="3" s="1"/>
  <c r="P49" i="3"/>
  <c r="P48" i="3"/>
  <c r="J48" i="3"/>
  <c r="D48" i="3"/>
  <c r="P46" i="3"/>
  <c r="J46" i="3"/>
  <c r="D46" i="3"/>
  <c r="F46" i="3" s="1"/>
  <c r="P45" i="3"/>
  <c r="J45" i="3"/>
  <c r="D45" i="3"/>
  <c r="P44" i="3"/>
  <c r="P43" i="3"/>
  <c r="J43" i="3"/>
  <c r="D43" i="3"/>
  <c r="P42" i="3"/>
  <c r="J42" i="3"/>
  <c r="P41" i="3"/>
  <c r="J41" i="3"/>
  <c r="D41" i="3"/>
  <c r="F41" i="3" s="1"/>
  <c r="P39" i="3"/>
  <c r="P38" i="3"/>
  <c r="J38" i="3"/>
  <c r="D38" i="3"/>
  <c r="P37" i="3"/>
  <c r="J37" i="3"/>
  <c r="D37" i="3"/>
  <c r="F37" i="3" s="1"/>
  <c r="P36" i="3"/>
  <c r="J36" i="3"/>
  <c r="D36" i="3"/>
  <c r="F36" i="3" s="1"/>
  <c r="P35" i="3"/>
  <c r="P34" i="3"/>
  <c r="J34" i="3"/>
  <c r="D34" i="3"/>
  <c r="P60" i="14"/>
  <c r="J60" i="14"/>
  <c r="L60" i="14" s="1"/>
  <c r="D60" i="14"/>
  <c r="P59" i="14"/>
  <c r="P58" i="14"/>
  <c r="J58" i="14"/>
  <c r="L58" i="14" s="1"/>
  <c r="P57" i="14"/>
  <c r="P56" i="14"/>
  <c r="J56" i="14"/>
  <c r="L56" i="14" s="1"/>
  <c r="D56" i="14"/>
  <c r="P55" i="14"/>
  <c r="P54" i="14"/>
  <c r="J54" i="14"/>
  <c r="L54" i="14" s="1"/>
  <c r="P53" i="14"/>
  <c r="J53" i="14"/>
  <c r="L53" i="14" s="1"/>
  <c r="P52" i="14"/>
  <c r="J52" i="14"/>
  <c r="L52" i="14" s="1"/>
  <c r="D52" i="14"/>
  <c r="P51" i="14"/>
  <c r="P50" i="14"/>
  <c r="J50" i="14"/>
  <c r="L50" i="14" s="1"/>
  <c r="P49" i="14"/>
  <c r="P48" i="14"/>
  <c r="J48" i="14"/>
  <c r="L48" i="14" s="1"/>
  <c r="D48" i="14"/>
  <c r="P46" i="14"/>
  <c r="P45" i="14"/>
  <c r="J45" i="14"/>
  <c r="L45" i="14" s="1"/>
  <c r="P44" i="14"/>
  <c r="P43" i="14"/>
  <c r="J43" i="14"/>
  <c r="L43" i="14" s="1"/>
  <c r="D43" i="14"/>
  <c r="P42" i="14"/>
  <c r="P41" i="14"/>
  <c r="J41" i="14"/>
  <c r="L41" i="14" s="1"/>
  <c r="D41" i="14"/>
  <c r="P39" i="14"/>
  <c r="P38" i="14"/>
  <c r="J38" i="14"/>
  <c r="L38" i="14" s="1"/>
  <c r="D38" i="14"/>
  <c r="P37" i="14"/>
  <c r="P36" i="14"/>
  <c r="J36" i="14"/>
  <c r="L36" i="14" s="1"/>
  <c r="P35" i="14"/>
  <c r="J35" i="14"/>
  <c r="L35" i="14" s="1"/>
  <c r="P34" i="14"/>
  <c r="J34" i="14"/>
  <c r="L34" i="14" s="1"/>
  <c r="D34" i="14"/>
  <c r="P60" i="16"/>
  <c r="D60" i="16"/>
  <c r="P58" i="16"/>
  <c r="D58" i="16"/>
  <c r="P56" i="16"/>
  <c r="D56" i="16"/>
  <c r="P54" i="16"/>
  <c r="D54" i="16"/>
  <c r="P52" i="16"/>
  <c r="D52" i="16"/>
  <c r="P50" i="16"/>
  <c r="D50" i="16"/>
  <c r="P48" i="16"/>
  <c r="J48" i="16"/>
  <c r="L48" i="16" s="1"/>
  <c r="D48" i="16"/>
  <c r="P45" i="16"/>
  <c r="D45" i="16"/>
  <c r="P43" i="16"/>
  <c r="D43" i="16"/>
  <c r="P41" i="16"/>
  <c r="J41" i="16"/>
  <c r="L41" i="16" s="1"/>
  <c r="D41" i="16"/>
  <c r="P38" i="16"/>
  <c r="D38" i="16"/>
  <c r="P36" i="16"/>
  <c r="D36" i="16"/>
  <c r="P34" i="16"/>
  <c r="J34" i="16"/>
  <c r="L34" i="16" s="1"/>
  <c r="D34" i="16"/>
  <c r="X60" i="13"/>
  <c r="F59" i="13"/>
  <c r="X57" i="13"/>
  <c r="X51" i="13"/>
  <c r="X50" i="13"/>
  <c r="F46" i="13"/>
  <c r="X44" i="13"/>
  <c r="X42" i="13"/>
  <c r="AJ35" i="13"/>
  <c r="X34" i="13"/>
  <c r="O60" i="16"/>
  <c r="C60" i="16"/>
  <c r="O58" i="16"/>
  <c r="C58" i="16"/>
  <c r="O56" i="16"/>
  <c r="C56" i="16"/>
  <c r="O54" i="16"/>
  <c r="C54" i="16"/>
  <c r="O52" i="16"/>
  <c r="C52" i="16"/>
  <c r="O50" i="16"/>
  <c r="C50" i="16"/>
  <c r="O48" i="16"/>
  <c r="I48" i="16"/>
  <c r="K48" i="16" s="1"/>
  <c r="C48" i="16"/>
  <c r="O45" i="16"/>
  <c r="C45" i="16"/>
  <c r="O43" i="16"/>
  <c r="C43" i="16"/>
  <c r="O41" i="16"/>
  <c r="I41" i="16"/>
  <c r="K41" i="16" s="1"/>
  <c r="C41" i="16"/>
  <c r="O38" i="16"/>
  <c r="C38" i="16"/>
  <c r="O36" i="16"/>
  <c r="C36" i="16"/>
  <c r="O34" i="16"/>
  <c r="I34" i="16"/>
  <c r="K34" i="16" s="1"/>
  <c r="C34" i="16"/>
  <c r="O60" i="14"/>
  <c r="I60" i="14"/>
  <c r="K60" i="14" s="1"/>
  <c r="O59" i="14"/>
  <c r="I59" i="14"/>
  <c r="K59" i="14" s="1"/>
  <c r="O58" i="14"/>
  <c r="I58" i="14"/>
  <c r="K58" i="14" s="1"/>
  <c r="C58" i="14"/>
  <c r="O57" i="14"/>
  <c r="O56" i="14"/>
  <c r="I56" i="14"/>
  <c r="K56" i="14" s="1"/>
  <c r="O55" i="14"/>
  <c r="O54" i="14"/>
  <c r="I54" i="14"/>
  <c r="K54" i="14" s="1"/>
  <c r="C54" i="14"/>
  <c r="O53" i="14"/>
  <c r="O52" i="14"/>
  <c r="I52" i="14"/>
  <c r="K52" i="14" s="1"/>
  <c r="O51" i="14"/>
  <c r="O50" i="14"/>
  <c r="I50" i="14"/>
  <c r="K50" i="14" s="1"/>
  <c r="C50" i="14"/>
  <c r="O49" i="14"/>
  <c r="O48" i="14"/>
  <c r="I48" i="14"/>
  <c r="K48" i="14" s="1"/>
  <c r="C48" i="14"/>
  <c r="O46" i="14"/>
  <c r="O45" i="14"/>
  <c r="I45" i="14"/>
  <c r="K45" i="14" s="1"/>
  <c r="C45" i="14"/>
  <c r="O44" i="14"/>
  <c r="O43" i="14"/>
  <c r="I43" i="14"/>
  <c r="K43" i="14" s="1"/>
  <c r="O42" i="14"/>
  <c r="I42" i="14"/>
  <c r="K42" i="14" s="1"/>
  <c r="O41" i="14"/>
  <c r="I41" i="14"/>
  <c r="K41" i="14" s="1"/>
  <c r="C41" i="14"/>
  <c r="O39" i="14"/>
  <c r="O38" i="14"/>
  <c r="I38" i="14"/>
  <c r="K38" i="14" s="1"/>
  <c r="O37" i="14"/>
  <c r="O36" i="14"/>
  <c r="I36" i="14"/>
  <c r="K36" i="14" s="1"/>
  <c r="C36" i="14"/>
  <c r="O35" i="14"/>
  <c r="O34" i="14"/>
  <c r="I34" i="14"/>
  <c r="K34" i="14" s="1"/>
  <c r="C34" i="14"/>
  <c r="O60" i="3"/>
  <c r="I60" i="3"/>
  <c r="C60" i="3"/>
  <c r="O59" i="3"/>
  <c r="O58" i="3"/>
  <c r="I58" i="3"/>
  <c r="C58" i="3"/>
  <c r="E58" i="3" s="1"/>
  <c r="O57" i="3"/>
  <c r="O56" i="3"/>
  <c r="I56" i="3"/>
  <c r="C56" i="3"/>
  <c r="E56" i="3" s="1"/>
  <c r="O55" i="3"/>
  <c r="O54" i="3"/>
  <c r="I54" i="3"/>
  <c r="C54" i="3"/>
  <c r="E54" i="3" s="1"/>
  <c r="O53" i="3"/>
  <c r="O52" i="3"/>
  <c r="I52" i="3"/>
  <c r="C52" i="3"/>
  <c r="E52" i="3" s="1"/>
  <c r="O51" i="3"/>
  <c r="O50" i="3"/>
  <c r="I50" i="3"/>
  <c r="C50" i="3"/>
  <c r="E50" i="3" s="1"/>
  <c r="O49" i="3"/>
  <c r="O48" i="3"/>
  <c r="I48" i="3"/>
  <c r="C48" i="3"/>
  <c r="O46" i="3"/>
  <c r="O45" i="3"/>
  <c r="I45" i="3"/>
  <c r="C45" i="3"/>
  <c r="E45" i="3" s="1"/>
  <c r="O44" i="3"/>
  <c r="O43" i="3"/>
  <c r="I43" i="3"/>
  <c r="C43" i="3"/>
  <c r="O42" i="3"/>
  <c r="O41" i="3"/>
  <c r="I41" i="3"/>
  <c r="C41" i="3"/>
  <c r="E41" i="3" s="1"/>
  <c r="O39" i="3"/>
  <c r="O38" i="3"/>
  <c r="I38" i="3"/>
  <c r="C38" i="3"/>
  <c r="E38" i="3" s="1"/>
  <c r="O37" i="3"/>
  <c r="O36" i="3"/>
  <c r="I36" i="3"/>
  <c r="C36" i="3"/>
  <c r="E36" i="3" s="1"/>
  <c r="O35" i="3"/>
  <c r="O34" i="3"/>
  <c r="I34" i="3"/>
  <c r="C34" i="3"/>
  <c r="O60" i="13"/>
  <c r="I60" i="13"/>
  <c r="C60" i="13"/>
  <c r="O59" i="13"/>
  <c r="C59" i="13"/>
  <c r="E59" i="13" s="1"/>
  <c r="O58" i="13"/>
  <c r="I58" i="13"/>
  <c r="C58" i="13"/>
  <c r="O57" i="13"/>
  <c r="C57" i="13"/>
  <c r="E57" i="13" s="1"/>
  <c r="O56" i="13"/>
  <c r="I56" i="13"/>
  <c r="C56" i="13"/>
  <c r="O55" i="13"/>
  <c r="C55" i="13"/>
  <c r="E55" i="13" s="1"/>
  <c r="O54" i="13"/>
  <c r="I54" i="13"/>
  <c r="C54" i="13"/>
  <c r="O53" i="13"/>
  <c r="C53" i="13"/>
  <c r="O52" i="13"/>
  <c r="I52" i="13"/>
  <c r="C52" i="13"/>
  <c r="O51" i="13"/>
  <c r="C51" i="13"/>
  <c r="E51" i="13" s="1"/>
  <c r="O50" i="13"/>
  <c r="I50" i="13"/>
  <c r="C50" i="13"/>
  <c r="O49" i="13"/>
  <c r="C49" i="13"/>
  <c r="E49" i="13" s="1"/>
  <c r="O48" i="13"/>
  <c r="I48" i="13"/>
  <c r="C48" i="13"/>
  <c r="O46" i="13"/>
  <c r="Q46" i="13" s="1"/>
  <c r="C46" i="13"/>
  <c r="O45" i="13"/>
  <c r="I45" i="13"/>
  <c r="C45" i="13"/>
  <c r="O44" i="13"/>
  <c r="C44" i="13"/>
  <c r="E44" i="13" s="1"/>
  <c r="O43" i="13"/>
  <c r="I43" i="13"/>
  <c r="C43" i="13"/>
  <c r="O42" i="13"/>
  <c r="C42" i="13"/>
  <c r="O41" i="13"/>
  <c r="I41" i="13"/>
  <c r="C41" i="13"/>
  <c r="O39" i="13"/>
  <c r="C39" i="13"/>
  <c r="E39" i="13" s="1"/>
  <c r="O38" i="13"/>
  <c r="I38" i="13"/>
  <c r="C38" i="13"/>
  <c r="O37" i="13"/>
  <c r="C37" i="13"/>
  <c r="O35" i="13"/>
  <c r="I35" i="13"/>
  <c r="O34" i="13"/>
  <c r="I34" i="13"/>
  <c r="C34" i="13"/>
  <c r="AF48" i="13"/>
  <c r="N48" i="13"/>
  <c r="AF41" i="13"/>
  <c r="N41" i="13"/>
  <c r="AF34" i="13"/>
  <c r="N34" i="13"/>
  <c r="AF48" i="3"/>
  <c r="N48" i="3"/>
  <c r="AF41" i="3"/>
  <c r="N41" i="3"/>
  <c r="AF34" i="3"/>
  <c r="N34" i="3"/>
  <c r="AF48" i="14"/>
  <c r="N48" i="14"/>
  <c r="AF41" i="14"/>
  <c r="N41" i="14"/>
  <c r="AF34" i="14"/>
  <c r="N34" i="14"/>
  <c r="AF48" i="16"/>
  <c r="N48" i="16"/>
  <c r="AF41" i="16"/>
  <c r="N41" i="16"/>
  <c r="AF34" i="16"/>
  <c r="N34" i="16"/>
  <c r="Z48" i="3"/>
  <c r="H48" i="3"/>
  <c r="Z41" i="3"/>
  <c r="H41" i="3"/>
  <c r="Z34" i="3"/>
  <c r="H34" i="3"/>
  <c r="Z48" i="13"/>
  <c r="H48" i="13"/>
  <c r="L48" i="13" s="1"/>
  <c r="Z41" i="13"/>
  <c r="H41" i="13"/>
  <c r="Z34" i="13"/>
  <c r="H34" i="13"/>
  <c r="X60" i="3"/>
  <c r="F60" i="3"/>
  <c r="E60" i="3"/>
  <c r="X59" i="3"/>
  <c r="X58" i="3"/>
  <c r="F58" i="3"/>
  <c r="X57" i="3"/>
  <c r="X56" i="3"/>
  <c r="F56" i="3"/>
  <c r="X55" i="3"/>
  <c r="X54" i="3"/>
  <c r="X53" i="3"/>
  <c r="X52" i="3"/>
  <c r="F52" i="3"/>
  <c r="X51" i="3"/>
  <c r="X50" i="3"/>
  <c r="X49" i="3"/>
  <c r="X48" i="3"/>
  <c r="W48" i="3"/>
  <c r="R48" i="3"/>
  <c r="F48" i="3"/>
  <c r="E48" i="3"/>
  <c r="X46" i="3"/>
  <c r="A46" i="3"/>
  <c r="X45" i="3"/>
  <c r="F45" i="3"/>
  <c r="A45" i="3"/>
  <c r="X44" i="3"/>
  <c r="A44" i="3"/>
  <c r="X43" i="3"/>
  <c r="F43" i="3"/>
  <c r="E43" i="3"/>
  <c r="A43" i="3"/>
  <c r="X42" i="3"/>
  <c r="A42" i="3"/>
  <c r="X41" i="3"/>
  <c r="W41" i="3"/>
  <c r="A41" i="3"/>
  <c r="A40" i="3"/>
  <c r="X39" i="3"/>
  <c r="A39" i="3"/>
  <c r="X38" i="3"/>
  <c r="F38" i="3"/>
  <c r="A38" i="3"/>
  <c r="X37" i="3"/>
  <c r="A37" i="3"/>
  <c r="X36" i="3"/>
  <c r="A36" i="3"/>
  <c r="X35" i="3"/>
  <c r="A35" i="3"/>
  <c r="X34" i="3"/>
  <c r="W34" i="3"/>
  <c r="F34" i="3"/>
  <c r="E34" i="3"/>
  <c r="A34" i="3"/>
  <c r="F60" i="13"/>
  <c r="E60" i="13"/>
  <c r="X59" i="13"/>
  <c r="E58" i="13"/>
  <c r="F56" i="13"/>
  <c r="E56" i="13"/>
  <c r="X55" i="13"/>
  <c r="F55" i="13"/>
  <c r="E54" i="13"/>
  <c r="X53" i="13"/>
  <c r="E53" i="13"/>
  <c r="F52" i="13"/>
  <c r="E52" i="13"/>
  <c r="F50" i="13"/>
  <c r="E50" i="13"/>
  <c r="X48" i="13"/>
  <c r="W48" i="13"/>
  <c r="F48" i="13"/>
  <c r="G48" i="13" s="1"/>
  <c r="E48" i="13"/>
  <c r="A47" i="13"/>
  <c r="E46" i="13"/>
  <c r="A46" i="13"/>
  <c r="X45" i="13"/>
  <c r="F45" i="13"/>
  <c r="E45" i="13"/>
  <c r="A45" i="13"/>
  <c r="A44" i="13"/>
  <c r="X43" i="13"/>
  <c r="E43" i="13"/>
  <c r="A43" i="13"/>
  <c r="E42" i="13"/>
  <c r="A42" i="13"/>
  <c r="X41" i="13"/>
  <c r="W41" i="13"/>
  <c r="F41" i="13"/>
  <c r="E41" i="13"/>
  <c r="A41" i="13"/>
  <c r="A40" i="13"/>
  <c r="A39" i="13"/>
  <c r="X38" i="13"/>
  <c r="F38" i="13"/>
  <c r="E38" i="13"/>
  <c r="A38" i="13"/>
  <c r="W37" i="13"/>
  <c r="E37" i="13"/>
  <c r="A37" i="13"/>
  <c r="A36" i="13"/>
  <c r="A35" i="13"/>
  <c r="AJ34" i="13"/>
  <c r="W34" i="13"/>
  <c r="F34" i="13"/>
  <c r="E34" i="13"/>
  <c r="A34" i="13"/>
  <c r="A33" i="13"/>
  <c r="T48" i="16"/>
  <c r="B48" i="16"/>
  <c r="G45" i="16"/>
  <c r="T41" i="16"/>
  <c r="B41" i="16"/>
  <c r="T34" i="16"/>
  <c r="B34" i="16"/>
  <c r="Y48" i="14"/>
  <c r="T48" i="14"/>
  <c r="G48" i="14"/>
  <c r="B48" i="14"/>
  <c r="T41" i="14"/>
  <c r="B41" i="14"/>
  <c r="T34" i="14"/>
  <c r="B34" i="14"/>
  <c r="AF34" i="6"/>
  <c r="AF41" i="6"/>
  <c r="AF48" i="6"/>
  <c r="AF57" i="6" s="1"/>
  <c r="AG57" i="6" s="1"/>
  <c r="AI57" i="6" s="1"/>
  <c r="Y47" i="6"/>
  <c r="X47" i="6"/>
  <c r="W47" i="6"/>
  <c r="AE47" i="6"/>
  <c r="AD47" i="6"/>
  <c r="AC47" i="6"/>
  <c r="Z50" i="6"/>
  <c r="Z51" i="6"/>
  <c r="Z52" i="6"/>
  <c r="Z53" i="6"/>
  <c r="Z54" i="6"/>
  <c r="Z55" i="6"/>
  <c r="Z56" i="6"/>
  <c r="Z57" i="6"/>
  <c r="Z58" i="6"/>
  <c r="Z59" i="6"/>
  <c r="Z60" i="6"/>
  <c r="Z34" i="6"/>
  <c r="AB33" i="6" s="1"/>
  <c r="Z41" i="6"/>
  <c r="AB40" i="6" s="1"/>
  <c r="Z48" i="6"/>
  <c r="AA50" i="6" s="1"/>
  <c r="AC50" i="6" s="1"/>
  <c r="N34" i="6"/>
  <c r="P33" i="6" s="1"/>
  <c r="N41" i="6"/>
  <c r="N48" i="6"/>
  <c r="N55" i="6" s="1"/>
  <c r="M47" i="6"/>
  <c r="L47" i="6"/>
  <c r="K47" i="6"/>
  <c r="G47" i="6"/>
  <c r="F47" i="6"/>
  <c r="E47" i="6"/>
  <c r="B50" i="6"/>
  <c r="C50" i="6" s="1"/>
  <c r="E50" i="6" s="1"/>
  <c r="H50" i="6"/>
  <c r="I50" i="6"/>
  <c r="K50" i="6" s="1"/>
  <c r="J50" i="6"/>
  <c r="L50" i="6" s="1"/>
  <c r="B51" i="6"/>
  <c r="C51" i="6" s="1"/>
  <c r="E51" i="6" s="1"/>
  <c r="H51" i="6"/>
  <c r="I51" i="6" s="1"/>
  <c r="K51" i="6" s="1"/>
  <c r="J51" i="6"/>
  <c r="L51" i="6" s="1"/>
  <c r="B52" i="6"/>
  <c r="D52" i="6" s="1"/>
  <c r="F52" i="6" s="1"/>
  <c r="C52" i="6"/>
  <c r="E52" i="6" s="1"/>
  <c r="H52" i="6"/>
  <c r="I52" i="6" s="1"/>
  <c r="K52" i="6" s="1"/>
  <c r="B53" i="6"/>
  <c r="C53" i="6" s="1"/>
  <c r="E53" i="6" s="1"/>
  <c r="D53" i="6"/>
  <c r="F53" i="6" s="1"/>
  <c r="H53" i="6"/>
  <c r="I53" i="6" s="1"/>
  <c r="K53" i="6" s="1"/>
  <c r="B54" i="6"/>
  <c r="C54" i="6" s="1"/>
  <c r="E54" i="6" s="1"/>
  <c r="H54" i="6"/>
  <c r="I54" i="6"/>
  <c r="K54" i="6" s="1"/>
  <c r="J54" i="6"/>
  <c r="L54" i="6" s="1"/>
  <c r="B55" i="6"/>
  <c r="C55" i="6" s="1"/>
  <c r="E55" i="6" s="1"/>
  <c r="H55" i="6"/>
  <c r="I55" i="6" s="1"/>
  <c r="K55" i="6" s="1"/>
  <c r="M55" i="6" s="1"/>
  <c r="J55" i="6"/>
  <c r="L55" i="6" s="1"/>
  <c r="B56" i="6"/>
  <c r="C56" i="6"/>
  <c r="E56" i="6" s="1"/>
  <c r="D56" i="6"/>
  <c r="F56" i="6" s="1"/>
  <c r="H56" i="6"/>
  <c r="I56" i="6"/>
  <c r="J56" i="6"/>
  <c r="K56" i="6"/>
  <c r="M56" i="6" s="1"/>
  <c r="L56" i="6"/>
  <c r="B57" i="6"/>
  <c r="C57" i="6" s="1"/>
  <c r="E57" i="6" s="1"/>
  <c r="D57" i="6"/>
  <c r="F57" i="6" s="1"/>
  <c r="H57" i="6"/>
  <c r="I57" i="6" s="1"/>
  <c r="K57" i="6" s="1"/>
  <c r="B58" i="6"/>
  <c r="C58" i="6" s="1"/>
  <c r="E58" i="6" s="1"/>
  <c r="H58" i="6"/>
  <c r="J58" i="6" s="1"/>
  <c r="L58" i="6" s="1"/>
  <c r="I58" i="6"/>
  <c r="K58" i="6" s="1"/>
  <c r="M58" i="6" s="1"/>
  <c r="B59" i="6"/>
  <c r="C59" i="6" s="1"/>
  <c r="E59" i="6" s="1"/>
  <c r="H59" i="6"/>
  <c r="I59" i="6" s="1"/>
  <c r="K59" i="6" s="1"/>
  <c r="M59" i="6" s="1"/>
  <c r="J59" i="6"/>
  <c r="L59" i="6" s="1"/>
  <c r="B60" i="6"/>
  <c r="C60" i="6"/>
  <c r="E60" i="6" s="1"/>
  <c r="D60" i="6"/>
  <c r="F60" i="6" s="1"/>
  <c r="H60" i="6"/>
  <c r="I60" i="6" s="1"/>
  <c r="K60" i="6" s="1"/>
  <c r="N50" i="6"/>
  <c r="O50" i="6" s="1"/>
  <c r="Q50" i="6" s="1"/>
  <c r="T50" i="6"/>
  <c r="U50" i="6" s="1"/>
  <c r="W50" i="6" s="1"/>
  <c r="Y50" i="6" s="1"/>
  <c r="V50" i="6"/>
  <c r="X50" i="6"/>
  <c r="AF50" i="6"/>
  <c r="AG50" i="6" s="1"/>
  <c r="AI50" i="6" s="1"/>
  <c r="N51" i="6"/>
  <c r="O51" i="6" s="1"/>
  <c r="Q51" i="6" s="1"/>
  <c r="T51" i="6"/>
  <c r="U51" i="6"/>
  <c r="V51" i="6"/>
  <c r="X51" i="6" s="1"/>
  <c r="W51" i="6"/>
  <c r="AF51" i="6"/>
  <c r="AG51" i="6" s="1"/>
  <c r="AI51" i="6" s="1"/>
  <c r="AK51" i="6" s="1"/>
  <c r="AH51" i="6"/>
  <c r="AJ51" i="6" s="1"/>
  <c r="N52" i="6"/>
  <c r="O52" i="6" s="1"/>
  <c r="Q52" i="6" s="1"/>
  <c r="T52" i="6"/>
  <c r="U52" i="6"/>
  <c r="W52" i="6" s="1"/>
  <c r="Y52" i="6" s="1"/>
  <c r="V52" i="6"/>
  <c r="X52" i="6" s="1"/>
  <c r="T53" i="6"/>
  <c r="V53" i="6" s="1"/>
  <c r="X53" i="6" s="1"/>
  <c r="U53" i="6"/>
  <c r="W53" i="6" s="1"/>
  <c r="AF53" i="6"/>
  <c r="AH53" i="6" s="1"/>
  <c r="AJ53" i="6" s="1"/>
  <c r="AG53" i="6"/>
  <c r="AI53" i="6" s="1"/>
  <c r="AK53" i="6" s="1"/>
  <c r="N54" i="6"/>
  <c r="O54" i="6" s="1"/>
  <c r="Q54" i="6" s="1"/>
  <c r="T54" i="6"/>
  <c r="U54" i="6" s="1"/>
  <c r="W54" i="6" s="1"/>
  <c r="AF54" i="6"/>
  <c r="AG54" i="6" s="1"/>
  <c r="AI54" i="6" s="1"/>
  <c r="T55" i="6"/>
  <c r="U55" i="6"/>
  <c r="W55" i="6" s="1"/>
  <c r="Y55" i="6" s="1"/>
  <c r="V55" i="6"/>
  <c r="X55" i="6" s="1"/>
  <c r="N56" i="6"/>
  <c r="O56" i="6" s="1"/>
  <c r="Q56" i="6" s="1"/>
  <c r="T56" i="6"/>
  <c r="V56" i="6" s="1"/>
  <c r="X56" i="6" s="1"/>
  <c r="U56" i="6"/>
  <c r="W56" i="6" s="1"/>
  <c r="Y56" i="6" s="1"/>
  <c r="AF56" i="6"/>
  <c r="AH56" i="6" s="1"/>
  <c r="AJ56" i="6" s="1"/>
  <c r="N57" i="6"/>
  <c r="O57" i="6" s="1"/>
  <c r="Q57" i="6" s="1"/>
  <c r="T57" i="6"/>
  <c r="U57" i="6" s="1"/>
  <c r="W57" i="6" s="1"/>
  <c r="N58" i="6"/>
  <c r="O58" i="6" s="1"/>
  <c r="Q58" i="6" s="1"/>
  <c r="T58" i="6"/>
  <c r="V58" i="6" s="1"/>
  <c r="X58" i="6" s="1"/>
  <c r="U58" i="6"/>
  <c r="W58" i="6" s="1"/>
  <c r="Y58" i="6" s="1"/>
  <c r="AF58" i="6"/>
  <c r="AH58" i="6" s="1"/>
  <c r="AJ58" i="6" s="1"/>
  <c r="AG58" i="6"/>
  <c r="AI58" i="6" s="1"/>
  <c r="AK58" i="6" s="1"/>
  <c r="N59" i="6"/>
  <c r="P59" i="6" s="1"/>
  <c r="R59" i="6" s="1"/>
  <c r="T59" i="6"/>
  <c r="U59" i="6" s="1"/>
  <c r="W59" i="6" s="1"/>
  <c r="AF59" i="6"/>
  <c r="AG59" i="6" s="1"/>
  <c r="AI59" i="6" s="1"/>
  <c r="N60" i="6"/>
  <c r="O60" i="6" s="1"/>
  <c r="Q60" i="6" s="1"/>
  <c r="T60" i="6"/>
  <c r="U60" i="6" s="1"/>
  <c r="W60" i="6" s="1"/>
  <c r="Y60" i="6" s="1"/>
  <c r="V60" i="6"/>
  <c r="X60" i="6"/>
  <c r="AH40" i="6"/>
  <c r="AH33" i="6"/>
  <c r="AH47" i="6"/>
  <c r="AB47" i="6"/>
  <c r="V40" i="6"/>
  <c r="V33" i="6"/>
  <c r="T34" i="6"/>
  <c r="T41" i="6"/>
  <c r="T48" i="6"/>
  <c r="V47" i="6"/>
  <c r="P40" i="6"/>
  <c r="P47" i="6"/>
  <c r="J40" i="6"/>
  <c r="J33" i="6"/>
  <c r="J47" i="6"/>
  <c r="H34" i="6"/>
  <c r="H41" i="6"/>
  <c r="H48" i="6"/>
  <c r="B48" i="6"/>
  <c r="B41" i="6"/>
  <c r="D47" i="6"/>
  <c r="D40" i="6"/>
  <c r="D33" i="6"/>
  <c r="A47" i="6"/>
  <c r="A46" i="6"/>
  <c r="A45" i="6"/>
  <c r="A44" i="6"/>
  <c r="A43" i="6"/>
  <c r="A42" i="6"/>
  <c r="A41" i="6"/>
  <c r="A40" i="6"/>
  <c r="A39" i="6"/>
  <c r="A38" i="6"/>
  <c r="A37" i="6"/>
  <c r="A36" i="6"/>
  <c r="A35" i="6"/>
  <c r="A34" i="6"/>
  <c r="A33" i="6"/>
  <c r="B34" i="6"/>
  <c r="AI48" i="3"/>
  <c r="AJ48" i="3"/>
  <c r="AD48" i="3"/>
  <c r="AC48" i="3"/>
  <c r="T48" i="3"/>
  <c r="Q48" i="3"/>
  <c r="K48" i="3"/>
  <c r="L48" i="3"/>
  <c r="B48" i="3"/>
  <c r="AC46" i="3"/>
  <c r="Q46" i="3"/>
  <c r="AJ42" i="3"/>
  <c r="AD42" i="3"/>
  <c r="R42" i="3"/>
  <c r="AJ41" i="3"/>
  <c r="AI41" i="3"/>
  <c r="AC41" i="3"/>
  <c r="T41" i="3"/>
  <c r="Q41" i="3"/>
  <c r="L41" i="3"/>
  <c r="K41" i="3"/>
  <c r="B41" i="3"/>
  <c r="AJ36" i="3"/>
  <c r="R36" i="3"/>
  <c r="L36" i="3"/>
  <c r="AJ34" i="3"/>
  <c r="T34" i="3"/>
  <c r="R34" i="3"/>
  <c r="L34" i="3"/>
  <c r="B34" i="3"/>
  <c r="AJ48" i="13"/>
  <c r="AI48" i="13"/>
  <c r="AD48" i="13"/>
  <c r="AC48" i="13"/>
  <c r="T48" i="13"/>
  <c r="R48" i="13"/>
  <c r="Q48" i="13"/>
  <c r="R60" i="13"/>
  <c r="B48" i="13"/>
  <c r="AC46" i="13"/>
  <c r="AD45" i="13"/>
  <c r="Q45" i="13"/>
  <c r="AJ44" i="13"/>
  <c r="AC43" i="13"/>
  <c r="R43" i="13"/>
  <c r="AJ42" i="13"/>
  <c r="R42" i="13"/>
  <c r="AJ41" i="13"/>
  <c r="AD41" i="13"/>
  <c r="AC41" i="13"/>
  <c r="T41" i="13"/>
  <c r="Q41" i="13"/>
  <c r="L41" i="13"/>
  <c r="K41" i="13"/>
  <c r="B41" i="13"/>
  <c r="AI39" i="13"/>
  <c r="AJ39" i="13"/>
  <c r="W39" i="13"/>
  <c r="AI37" i="13"/>
  <c r="AJ37" i="13"/>
  <c r="W36" i="13"/>
  <c r="W35" i="13"/>
  <c r="T34" i="13"/>
  <c r="R34" i="13"/>
  <c r="L34" i="13"/>
  <c r="B34" i="13"/>
  <c r="J16" i="3"/>
  <c r="I16" i="3"/>
  <c r="H16" i="3"/>
  <c r="C16" i="3"/>
  <c r="B16" i="3"/>
  <c r="U16" i="3"/>
  <c r="T16" i="3"/>
  <c r="AB16" i="3"/>
  <c r="AA16" i="3"/>
  <c r="Z16" i="3"/>
  <c r="AB16" i="13"/>
  <c r="AA16" i="13"/>
  <c r="Z16" i="13"/>
  <c r="U16" i="13"/>
  <c r="T16" i="13"/>
  <c r="V16" i="13"/>
  <c r="J16" i="13"/>
  <c r="I16" i="13"/>
  <c r="H16" i="13"/>
  <c r="D16" i="3"/>
  <c r="D16" i="13"/>
  <c r="C16" i="13"/>
  <c r="B16" i="13"/>
  <c r="B16" i="6"/>
  <c r="T16" i="2"/>
  <c r="J16" i="2"/>
  <c r="I16" i="2"/>
  <c r="C16" i="2"/>
  <c r="B16" i="2"/>
  <c r="AB16" i="16"/>
  <c r="AA16" i="16"/>
  <c r="Z16" i="16"/>
  <c r="U16" i="16"/>
  <c r="T16" i="16"/>
  <c r="J16" i="16"/>
  <c r="I16" i="16"/>
  <c r="H16" i="16"/>
  <c r="D16" i="16"/>
  <c r="C16" i="16"/>
  <c r="B16" i="16"/>
  <c r="AB16" i="14"/>
  <c r="AA16" i="14"/>
  <c r="Z16" i="14"/>
  <c r="V16" i="14"/>
  <c r="U16" i="14"/>
  <c r="T16" i="14"/>
  <c r="D16" i="14"/>
  <c r="C16" i="14"/>
  <c r="B16" i="14"/>
  <c r="J16" i="14"/>
  <c r="I16" i="14"/>
  <c r="H16" i="14"/>
  <c r="Z19" i="13"/>
  <c r="AB19" i="13" s="1"/>
  <c r="AA19" i="13"/>
  <c r="Z20" i="13"/>
  <c r="AB20" i="13" s="1"/>
  <c r="AA20" i="13"/>
  <c r="Z21" i="13"/>
  <c r="AB21" i="13" s="1"/>
  <c r="T21" i="13" s="1"/>
  <c r="AA21" i="13"/>
  <c r="U21" i="13" s="1"/>
  <c r="V21" i="13" s="1"/>
  <c r="Z22" i="13"/>
  <c r="AA22" i="13"/>
  <c r="U22" i="13" s="1"/>
  <c r="V22" i="13" s="1"/>
  <c r="AB22" i="13"/>
  <c r="T22" i="13" s="1"/>
  <c r="Z23" i="13"/>
  <c r="AB23" i="13" s="1"/>
  <c r="AA23" i="13"/>
  <c r="Z24" i="13"/>
  <c r="AB24" i="13" s="1"/>
  <c r="AA24" i="13"/>
  <c r="Z25" i="13"/>
  <c r="AB25" i="13" s="1"/>
  <c r="AA25" i="13"/>
  <c r="Z26" i="13"/>
  <c r="AA26" i="13"/>
  <c r="U26" i="13" s="1"/>
  <c r="V26" i="13" s="1"/>
  <c r="AB26" i="13"/>
  <c r="T26" i="13" s="1"/>
  <c r="Z27" i="13"/>
  <c r="AB27" i="13" s="1"/>
  <c r="AA27" i="13"/>
  <c r="Z28" i="13"/>
  <c r="AB28" i="13" s="1"/>
  <c r="AA28" i="13"/>
  <c r="Z29" i="13"/>
  <c r="AB29" i="13" s="1"/>
  <c r="T29" i="13" s="1"/>
  <c r="AA29" i="13"/>
  <c r="U29" i="13" s="1"/>
  <c r="V29" i="13" s="1"/>
  <c r="H19" i="13"/>
  <c r="J19" i="13" s="1"/>
  <c r="I19" i="13"/>
  <c r="H20" i="13"/>
  <c r="J20" i="13" s="1"/>
  <c r="I20" i="13"/>
  <c r="H21" i="13"/>
  <c r="J21" i="13" s="1"/>
  <c r="B21" i="13" s="1"/>
  <c r="I21" i="13"/>
  <c r="H22" i="13"/>
  <c r="I22" i="13"/>
  <c r="C22" i="13" s="1"/>
  <c r="D22" i="13" s="1"/>
  <c r="J22" i="13"/>
  <c r="B22" i="13" s="1"/>
  <c r="H23" i="13"/>
  <c r="J23" i="13" s="1"/>
  <c r="I23" i="13"/>
  <c r="H24" i="13"/>
  <c r="J24" i="13" s="1"/>
  <c r="I24" i="13"/>
  <c r="H25" i="13"/>
  <c r="J25" i="13" s="1"/>
  <c r="I25" i="13"/>
  <c r="H26" i="13"/>
  <c r="I26" i="13"/>
  <c r="C26" i="13" s="1"/>
  <c r="D26" i="13" s="1"/>
  <c r="J26" i="13"/>
  <c r="B26" i="13" s="1"/>
  <c r="H27" i="13"/>
  <c r="J27" i="13" s="1"/>
  <c r="I27" i="13"/>
  <c r="H28" i="13"/>
  <c r="J28" i="13" s="1"/>
  <c r="I28" i="13"/>
  <c r="H29" i="13"/>
  <c r="J29" i="13" s="1"/>
  <c r="B29" i="13" s="1"/>
  <c r="I29" i="13"/>
  <c r="C29" i="13" s="1"/>
  <c r="D29" i="13" s="1"/>
  <c r="B19" i="3"/>
  <c r="C19" i="3"/>
  <c r="D19" i="3" s="1"/>
  <c r="B20" i="3"/>
  <c r="C20" i="3"/>
  <c r="D20" i="3" s="1"/>
  <c r="B21" i="3"/>
  <c r="C21" i="3"/>
  <c r="D21" i="3" s="1"/>
  <c r="B22" i="3"/>
  <c r="C22" i="3"/>
  <c r="D22" i="3" s="1"/>
  <c r="B23" i="3"/>
  <c r="C23" i="3"/>
  <c r="D23" i="3" s="1"/>
  <c r="B24" i="3"/>
  <c r="C24" i="3"/>
  <c r="D24" i="3" s="1"/>
  <c r="B25" i="3"/>
  <c r="C25" i="3"/>
  <c r="D25" i="3" s="1"/>
  <c r="B26" i="3"/>
  <c r="C26" i="3"/>
  <c r="D26" i="3" s="1"/>
  <c r="B27" i="3"/>
  <c r="C27" i="3"/>
  <c r="D27" i="3" s="1"/>
  <c r="B28" i="3"/>
  <c r="C28" i="3"/>
  <c r="D28" i="3" s="1"/>
  <c r="B29" i="3"/>
  <c r="C29" i="3"/>
  <c r="D29" i="3" s="1"/>
  <c r="H19" i="3"/>
  <c r="J19" i="3" s="1"/>
  <c r="I19" i="3"/>
  <c r="H20" i="3"/>
  <c r="J20" i="3" s="1"/>
  <c r="I20" i="3"/>
  <c r="H21" i="3"/>
  <c r="J21" i="3" s="1"/>
  <c r="I21" i="3"/>
  <c r="H22" i="3"/>
  <c r="J22" i="3" s="1"/>
  <c r="I22" i="3"/>
  <c r="H23" i="3"/>
  <c r="J23" i="3" s="1"/>
  <c r="I23" i="3"/>
  <c r="H24" i="3"/>
  <c r="J24" i="3" s="1"/>
  <c r="I24" i="3"/>
  <c r="H25" i="3"/>
  <c r="J25" i="3" s="1"/>
  <c r="I25" i="3"/>
  <c r="H26" i="3"/>
  <c r="J26" i="3" s="1"/>
  <c r="I26" i="3"/>
  <c r="H27" i="3"/>
  <c r="J27" i="3" s="1"/>
  <c r="I27" i="3"/>
  <c r="H28" i="3"/>
  <c r="J28" i="3" s="1"/>
  <c r="I28" i="3"/>
  <c r="H29" i="3"/>
  <c r="J29" i="3" s="1"/>
  <c r="I29" i="3"/>
  <c r="T19" i="3"/>
  <c r="U19" i="3"/>
  <c r="V19" i="3" s="1"/>
  <c r="T20" i="3"/>
  <c r="U20" i="3"/>
  <c r="V20" i="3" s="1"/>
  <c r="T21" i="3"/>
  <c r="U21" i="3"/>
  <c r="V21" i="3"/>
  <c r="T22" i="3"/>
  <c r="U22" i="3"/>
  <c r="V22" i="3"/>
  <c r="T23" i="3"/>
  <c r="U23" i="3"/>
  <c r="V23" i="3" s="1"/>
  <c r="T24" i="3"/>
  <c r="U24" i="3"/>
  <c r="V24" i="3" s="1"/>
  <c r="T25" i="3"/>
  <c r="U25" i="3"/>
  <c r="V25" i="3"/>
  <c r="T26" i="3"/>
  <c r="U26" i="3"/>
  <c r="V26" i="3"/>
  <c r="T27" i="3"/>
  <c r="U27" i="3"/>
  <c r="V27" i="3" s="1"/>
  <c r="T28" i="3"/>
  <c r="U28" i="3"/>
  <c r="V28" i="3" s="1"/>
  <c r="T29" i="3"/>
  <c r="U29" i="3"/>
  <c r="V29" i="3"/>
  <c r="Z19" i="3"/>
  <c r="AB19" i="3" s="1"/>
  <c r="AA19" i="3"/>
  <c r="Z20" i="3"/>
  <c r="AB20" i="3" s="1"/>
  <c r="AA20" i="3"/>
  <c r="Z21" i="3"/>
  <c r="AA21" i="3"/>
  <c r="AB21" i="3" s="1"/>
  <c r="Z22" i="3"/>
  <c r="AB22" i="3" s="1"/>
  <c r="AA22" i="3"/>
  <c r="Z23" i="3"/>
  <c r="AB23" i="3" s="1"/>
  <c r="AA23" i="3"/>
  <c r="Z24" i="3"/>
  <c r="AB24" i="3" s="1"/>
  <c r="AA24" i="3"/>
  <c r="Z25" i="3"/>
  <c r="AA25" i="3"/>
  <c r="AB25" i="3" s="1"/>
  <c r="Z26" i="3"/>
  <c r="AB26" i="3" s="1"/>
  <c r="AA26" i="3"/>
  <c r="Z27" i="3"/>
  <c r="AB27" i="3" s="1"/>
  <c r="AA27" i="3"/>
  <c r="Z28" i="3"/>
  <c r="AB28" i="3" s="1"/>
  <c r="AA28" i="3"/>
  <c r="Z29" i="3"/>
  <c r="AB29" i="3" s="1"/>
  <c r="AA29" i="3"/>
  <c r="Z19" i="14"/>
  <c r="AB19" i="14" s="1"/>
  <c r="AA19" i="14"/>
  <c r="Z20" i="14"/>
  <c r="AB20" i="14" s="1"/>
  <c r="AA20" i="14"/>
  <c r="Z21" i="14"/>
  <c r="AA21" i="14"/>
  <c r="Z22" i="14"/>
  <c r="AB22" i="14" s="1"/>
  <c r="T22" i="14" s="1"/>
  <c r="AA22" i="14"/>
  <c r="U22" i="14" s="1"/>
  <c r="V22" i="14" s="1"/>
  <c r="Z23" i="14"/>
  <c r="AB23" i="14" s="1"/>
  <c r="T23" i="14" s="1"/>
  <c r="AA23" i="14"/>
  <c r="Z24" i="14"/>
  <c r="AB24" i="14" s="1"/>
  <c r="AA24" i="14"/>
  <c r="Z25" i="14"/>
  <c r="AA25" i="14"/>
  <c r="AB25" i="14" s="1"/>
  <c r="Z26" i="14"/>
  <c r="AB26" i="14" s="1"/>
  <c r="AA26" i="14"/>
  <c r="Z27" i="14"/>
  <c r="AB27" i="14" s="1"/>
  <c r="T27" i="14" s="1"/>
  <c r="AA27" i="14"/>
  <c r="Z28" i="14"/>
  <c r="AB28" i="14" s="1"/>
  <c r="AA28" i="14"/>
  <c r="Z29" i="14"/>
  <c r="AA29" i="14"/>
  <c r="H19" i="14"/>
  <c r="J19" i="14" s="1"/>
  <c r="I19" i="14"/>
  <c r="H20" i="14"/>
  <c r="J20" i="14" s="1"/>
  <c r="I20" i="14"/>
  <c r="H21" i="14"/>
  <c r="I21" i="14"/>
  <c r="J21" i="14" s="1"/>
  <c r="H22" i="14"/>
  <c r="J22" i="14" s="1"/>
  <c r="I22" i="14"/>
  <c r="H23" i="14"/>
  <c r="J23" i="14" s="1"/>
  <c r="B23" i="14" s="1"/>
  <c r="I23" i="14"/>
  <c r="H24" i="14"/>
  <c r="J24" i="14" s="1"/>
  <c r="B24" i="14" s="1"/>
  <c r="I24" i="14"/>
  <c r="H25" i="14"/>
  <c r="I25" i="14"/>
  <c r="J25" i="14" s="1"/>
  <c r="H26" i="14"/>
  <c r="J26" i="14" s="1"/>
  <c r="B26" i="14" s="1"/>
  <c r="I26" i="14"/>
  <c r="H27" i="14"/>
  <c r="J27" i="14" s="1"/>
  <c r="B27" i="14" s="1"/>
  <c r="I27" i="14"/>
  <c r="H28" i="14"/>
  <c r="J28" i="14" s="1"/>
  <c r="I28" i="14"/>
  <c r="H29" i="14"/>
  <c r="I29" i="14"/>
  <c r="Z19" i="16"/>
  <c r="AB19" i="16" s="1"/>
  <c r="AA19" i="16"/>
  <c r="Z20" i="16"/>
  <c r="AB20" i="16" s="1"/>
  <c r="AA20" i="16"/>
  <c r="Z21" i="16"/>
  <c r="AA21" i="16"/>
  <c r="AB21" i="16"/>
  <c r="T21" i="16" s="1"/>
  <c r="Z22" i="16"/>
  <c r="AA22" i="16"/>
  <c r="U22" i="16" s="1"/>
  <c r="V22" i="16" s="1"/>
  <c r="AB22" i="16"/>
  <c r="T22" i="16" s="1"/>
  <c r="Z23" i="16"/>
  <c r="AB23" i="16" s="1"/>
  <c r="AA23" i="16"/>
  <c r="Z24" i="16"/>
  <c r="AB24" i="16" s="1"/>
  <c r="AA24" i="16"/>
  <c r="Z25" i="16"/>
  <c r="AA25" i="16"/>
  <c r="U25" i="16" s="1"/>
  <c r="V25" i="16" s="1"/>
  <c r="AB25" i="16"/>
  <c r="T25" i="16" s="1"/>
  <c r="Z26" i="16"/>
  <c r="AA26" i="16"/>
  <c r="U26" i="16" s="1"/>
  <c r="V26" i="16" s="1"/>
  <c r="AB26" i="16"/>
  <c r="T26" i="16" s="1"/>
  <c r="Z27" i="16"/>
  <c r="AB27" i="16" s="1"/>
  <c r="AA27" i="16"/>
  <c r="Z28" i="16"/>
  <c r="AB28" i="16" s="1"/>
  <c r="AA28" i="16"/>
  <c r="Z29" i="16"/>
  <c r="AA29" i="16"/>
  <c r="U29" i="16" s="1"/>
  <c r="V29" i="16" s="1"/>
  <c r="AB29" i="16"/>
  <c r="T29" i="16" s="1"/>
  <c r="H19" i="16"/>
  <c r="J19" i="16" s="1"/>
  <c r="B19" i="16" s="1"/>
  <c r="I19" i="16"/>
  <c r="C19" i="16" s="1"/>
  <c r="D19" i="16" s="1"/>
  <c r="H20" i="16"/>
  <c r="J20" i="16" s="1"/>
  <c r="I20" i="16"/>
  <c r="H21" i="16"/>
  <c r="J21" i="16" s="1"/>
  <c r="I21" i="16"/>
  <c r="H22" i="16"/>
  <c r="I22" i="16"/>
  <c r="H23" i="16"/>
  <c r="J23" i="16" s="1"/>
  <c r="B23" i="16" s="1"/>
  <c r="I23" i="16"/>
  <c r="H24" i="16"/>
  <c r="J24" i="16" s="1"/>
  <c r="B24" i="16" s="1"/>
  <c r="I24" i="16"/>
  <c r="H25" i="16"/>
  <c r="J25" i="16" s="1"/>
  <c r="I25" i="16"/>
  <c r="H26" i="16"/>
  <c r="J26" i="16" s="1"/>
  <c r="I26" i="16"/>
  <c r="H27" i="16"/>
  <c r="J27" i="16" s="1"/>
  <c r="B27" i="16" s="1"/>
  <c r="I27" i="16"/>
  <c r="C27" i="16" s="1"/>
  <c r="D27" i="16" s="1"/>
  <c r="H28" i="16"/>
  <c r="J28" i="16" s="1"/>
  <c r="I28" i="16"/>
  <c r="H29" i="16"/>
  <c r="J29" i="16" s="1"/>
  <c r="I29" i="16"/>
  <c r="C19" i="22"/>
  <c r="B19" i="22" s="1"/>
  <c r="C20" i="22"/>
  <c r="B20" i="22" s="1"/>
  <c r="C21" i="22"/>
  <c r="B21" i="22" s="1"/>
  <c r="B22" i="22"/>
  <c r="C22" i="22"/>
  <c r="C23" i="22"/>
  <c r="B23" i="22" s="1"/>
  <c r="C24" i="22"/>
  <c r="B24" i="22" s="1"/>
  <c r="C25" i="22"/>
  <c r="B25" i="22" s="1"/>
  <c r="C26" i="22"/>
  <c r="B26" i="22" s="1"/>
  <c r="C27" i="22"/>
  <c r="B27" i="22" s="1"/>
  <c r="B28" i="22"/>
  <c r="C28" i="22"/>
  <c r="C29" i="22"/>
  <c r="B29" i="22" s="1"/>
  <c r="J19" i="22"/>
  <c r="I19" i="22" s="1"/>
  <c r="J20" i="22"/>
  <c r="I20" i="22" s="1"/>
  <c r="I21" i="22"/>
  <c r="J21" i="22"/>
  <c r="J22" i="22"/>
  <c r="I22" i="22" s="1"/>
  <c r="J23" i="22"/>
  <c r="I23" i="22" s="1"/>
  <c r="I24" i="22"/>
  <c r="J24" i="22"/>
  <c r="J25" i="22"/>
  <c r="I25" i="22" s="1"/>
  <c r="J26" i="22"/>
  <c r="I26" i="22" s="1"/>
  <c r="I27" i="22"/>
  <c r="J27" i="22"/>
  <c r="J28" i="22"/>
  <c r="I28" i="22" s="1"/>
  <c r="J29" i="22"/>
  <c r="I29" i="22" s="1"/>
  <c r="J19" i="23"/>
  <c r="I19" i="23" s="1"/>
  <c r="J20" i="23"/>
  <c r="I20" i="23" s="1"/>
  <c r="J21" i="23"/>
  <c r="I21" i="23" s="1"/>
  <c r="J22" i="23"/>
  <c r="I22" i="23" s="1"/>
  <c r="J23" i="23"/>
  <c r="I23" i="23" s="1"/>
  <c r="J24" i="23"/>
  <c r="I24" i="23" s="1"/>
  <c r="J25" i="23"/>
  <c r="I25" i="23" s="1"/>
  <c r="J26" i="23"/>
  <c r="I26" i="23" s="1"/>
  <c r="J27" i="23"/>
  <c r="I27" i="23" s="1"/>
  <c r="J28" i="23"/>
  <c r="I28" i="23" s="1"/>
  <c r="J29" i="23"/>
  <c r="I29" i="23" s="1"/>
  <c r="C19" i="23"/>
  <c r="B19" i="23" s="1"/>
  <c r="C20" i="23"/>
  <c r="B20" i="23" s="1"/>
  <c r="C21" i="23"/>
  <c r="B21" i="23" s="1"/>
  <c r="C22" i="23"/>
  <c r="B22" i="23" s="1"/>
  <c r="C23" i="23"/>
  <c r="B23" i="23" s="1"/>
  <c r="C24" i="23"/>
  <c r="B24" i="23" s="1"/>
  <c r="C25" i="23"/>
  <c r="B25" i="23" s="1"/>
  <c r="C26" i="23"/>
  <c r="B26" i="23" s="1"/>
  <c r="C27" i="23"/>
  <c r="B27" i="23" s="1"/>
  <c r="C28" i="23"/>
  <c r="B28" i="23" s="1"/>
  <c r="C29" i="23"/>
  <c r="B29" i="23" s="1"/>
  <c r="H19" i="21"/>
  <c r="G19" i="21" s="1"/>
  <c r="H20" i="21"/>
  <c r="G20" i="21" s="1"/>
  <c r="H21" i="21"/>
  <c r="G21" i="21" s="1"/>
  <c r="H22" i="21"/>
  <c r="G22" i="21" s="1"/>
  <c r="G23" i="21"/>
  <c r="H23" i="21"/>
  <c r="H24" i="21"/>
  <c r="G24" i="21" s="1"/>
  <c r="H25" i="21"/>
  <c r="G25" i="21" s="1"/>
  <c r="H26" i="21"/>
  <c r="G26" i="21" s="1"/>
  <c r="H27" i="21"/>
  <c r="G27" i="21" s="1"/>
  <c r="H28" i="21"/>
  <c r="G28" i="21" s="1"/>
  <c r="G29" i="21"/>
  <c r="H29" i="21"/>
  <c r="C19" i="21"/>
  <c r="B19" i="21" s="1"/>
  <c r="C20" i="21"/>
  <c r="B20" i="21" s="1"/>
  <c r="C21" i="21"/>
  <c r="B21" i="21" s="1"/>
  <c r="C22" i="21"/>
  <c r="B22" i="21" s="1"/>
  <c r="C23" i="21"/>
  <c r="B23" i="21" s="1"/>
  <c r="C24" i="21"/>
  <c r="B24" i="21" s="1"/>
  <c r="C25" i="21"/>
  <c r="B25" i="21" s="1"/>
  <c r="C26" i="21"/>
  <c r="B26" i="21" s="1"/>
  <c r="C27" i="21"/>
  <c r="B27" i="21" s="1"/>
  <c r="C28" i="21"/>
  <c r="B28" i="21" s="1"/>
  <c r="C29" i="21"/>
  <c r="B29" i="21" s="1"/>
  <c r="V47" i="2"/>
  <c r="V40" i="2"/>
  <c r="V33" i="2"/>
  <c r="AB33" i="2"/>
  <c r="AB40" i="2"/>
  <c r="AB47" i="2"/>
  <c r="AH47" i="2"/>
  <c r="AH33" i="2"/>
  <c r="AH40" i="2"/>
  <c r="AK47" i="2"/>
  <c r="AJ47" i="2"/>
  <c r="AI47" i="2"/>
  <c r="AE47" i="2"/>
  <c r="AD47" i="2"/>
  <c r="AC47" i="2"/>
  <c r="Y47" i="2"/>
  <c r="X47" i="2"/>
  <c r="W47" i="2"/>
  <c r="S47" i="2"/>
  <c r="R47" i="2"/>
  <c r="Q47" i="2"/>
  <c r="M47" i="2"/>
  <c r="L47" i="2"/>
  <c r="K47" i="2"/>
  <c r="Y40" i="2"/>
  <c r="X40" i="2"/>
  <c r="W40" i="2"/>
  <c r="Y33" i="2"/>
  <c r="X33" i="2"/>
  <c r="W33" i="2"/>
  <c r="AE40" i="2"/>
  <c r="AD40" i="2"/>
  <c r="AC40" i="2"/>
  <c r="AE33" i="2"/>
  <c r="AD33" i="2"/>
  <c r="AC33" i="2"/>
  <c r="AK33" i="2"/>
  <c r="AJ33" i="2"/>
  <c r="AI33" i="2"/>
  <c r="AK40" i="2"/>
  <c r="AJ40" i="2"/>
  <c r="AI40" i="2"/>
  <c r="AI41" i="2"/>
  <c r="AJ41" i="2"/>
  <c r="S40" i="2"/>
  <c r="R40" i="2"/>
  <c r="Q40" i="2"/>
  <c r="S33" i="2"/>
  <c r="R33" i="2"/>
  <c r="Q33" i="2"/>
  <c r="M40" i="2"/>
  <c r="L40" i="2"/>
  <c r="K40" i="2"/>
  <c r="M33" i="2"/>
  <c r="L33" i="2"/>
  <c r="K33" i="2"/>
  <c r="E40" i="2"/>
  <c r="G33" i="2"/>
  <c r="F33" i="2"/>
  <c r="G40" i="2"/>
  <c r="F40" i="2"/>
  <c r="E33" i="2"/>
  <c r="E47" i="2"/>
  <c r="P40" i="2"/>
  <c r="P33" i="2"/>
  <c r="P47" i="2"/>
  <c r="J33" i="2"/>
  <c r="J40" i="2"/>
  <c r="D40" i="2"/>
  <c r="D33" i="2"/>
  <c r="D47" i="2"/>
  <c r="J47" i="2"/>
  <c r="H48" i="2"/>
  <c r="AF48" i="2"/>
  <c r="AF41" i="2"/>
  <c r="AF34" i="2"/>
  <c r="Z34" i="2"/>
  <c r="Z41" i="2"/>
  <c r="Z48" i="2"/>
  <c r="Z51" i="2" s="1"/>
  <c r="AB51" i="2" s="1"/>
  <c r="AD51" i="2" s="1"/>
  <c r="W50" i="2"/>
  <c r="Y50" i="2" s="1"/>
  <c r="X50" i="2"/>
  <c r="AF50" i="2"/>
  <c r="AH50" i="2" s="1"/>
  <c r="AJ50" i="2" s="1"/>
  <c r="AG50" i="2"/>
  <c r="AI50" i="2" s="1"/>
  <c r="W51" i="2"/>
  <c r="Y51" i="2" s="1"/>
  <c r="X51" i="2"/>
  <c r="AF51" i="2"/>
  <c r="AH51" i="2" s="1"/>
  <c r="AJ51" i="2" s="1"/>
  <c r="W52" i="2"/>
  <c r="Y52" i="2" s="1"/>
  <c r="X52" i="2"/>
  <c r="AF52" i="2"/>
  <c r="AH52" i="2" s="1"/>
  <c r="AJ52" i="2" s="1"/>
  <c r="AG52" i="2"/>
  <c r="AI52" i="2" s="1"/>
  <c r="W53" i="2"/>
  <c r="Y53" i="2" s="1"/>
  <c r="X53" i="2"/>
  <c r="AF53" i="2"/>
  <c r="AH53" i="2" s="1"/>
  <c r="AJ53" i="2" s="1"/>
  <c r="AG53" i="2"/>
  <c r="AI53" i="2" s="1"/>
  <c r="W54" i="2"/>
  <c r="Y54" i="2" s="1"/>
  <c r="X54" i="2"/>
  <c r="AF54" i="2"/>
  <c r="AH54" i="2" s="1"/>
  <c r="AJ54" i="2" s="1"/>
  <c r="W55" i="2"/>
  <c r="Y55" i="2" s="1"/>
  <c r="X55" i="2"/>
  <c r="AF55" i="2"/>
  <c r="AH55" i="2" s="1"/>
  <c r="AJ55" i="2" s="1"/>
  <c r="AG55" i="2"/>
  <c r="AI55" i="2" s="1"/>
  <c r="W56" i="2"/>
  <c r="Y56" i="2" s="1"/>
  <c r="X56" i="2"/>
  <c r="AF56" i="2"/>
  <c r="AH56" i="2" s="1"/>
  <c r="AJ56" i="2" s="1"/>
  <c r="AG56" i="2"/>
  <c r="AI56" i="2" s="1"/>
  <c r="W57" i="2"/>
  <c r="Y57" i="2" s="1"/>
  <c r="X57" i="2"/>
  <c r="AF57" i="2"/>
  <c r="AH57" i="2" s="1"/>
  <c r="AJ57" i="2" s="1"/>
  <c r="W58" i="2"/>
  <c r="Y58" i="2" s="1"/>
  <c r="X58" i="2"/>
  <c r="AF58" i="2"/>
  <c r="AH58" i="2" s="1"/>
  <c r="AJ58" i="2" s="1"/>
  <c r="AG58" i="2"/>
  <c r="AI58" i="2" s="1"/>
  <c r="W59" i="2"/>
  <c r="Y59" i="2" s="1"/>
  <c r="X59" i="2"/>
  <c r="AF59" i="2"/>
  <c r="AH59" i="2" s="1"/>
  <c r="AJ59" i="2" s="1"/>
  <c r="AG59" i="2"/>
  <c r="AI59" i="2" s="1"/>
  <c r="W60" i="2"/>
  <c r="Y60" i="2" s="1"/>
  <c r="X60" i="2"/>
  <c r="AF60" i="2"/>
  <c r="AH60" i="2" s="1"/>
  <c r="AJ60" i="2" s="1"/>
  <c r="U50" i="2"/>
  <c r="V50" i="2"/>
  <c r="U51" i="2"/>
  <c r="V51" i="2"/>
  <c r="U52" i="2"/>
  <c r="V52" i="2"/>
  <c r="U53" i="2"/>
  <c r="V53" i="2"/>
  <c r="U54" i="2"/>
  <c r="V54" i="2"/>
  <c r="U55" i="2"/>
  <c r="V55" i="2"/>
  <c r="U56" i="2"/>
  <c r="V56" i="2"/>
  <c r="U57" i="2"/>
  <c r="V57" i="2"/>
  <c r="U58" i="2"/>
  <c r="V58" i="2"/>
  <c r="U59" i="2"/>
  <c r="V59" i="2"/>
  <c r="U60" i="2"/>
  <c r="V60" i="2"/>
  <c r="T50" i="2"/>
  <c r="T51" i="2"/>
  <c r="T52" i="2"/>
  <c r="T53" i="2"/>
  <c r="T54" i="2"/>
  <c r="T55" i="2"/>
  <c r="T56" i="2"/>
  <c r="T57" i="2"/>
  <c r="T58" i="2"/>
  <c r="T59" i="2"/>
  <c r="T60" i="2"/>
  <c r="T34" i="2"/>
  <c r="T41" i="2"/>
  <c r="T48" i="2"/>
  <c r="B41" i="2"/>
  <c r="B34" i="2"/>
  <c r="B48" i="2"/>
  <c r="B51" i="2" s="1"/>
  <c r="H41" i="2"/>
  <c r="H34" i="2"/>
  <c r="N34" i="2"/>
  <c r="N41" i="2"/>
  <c r="N48" i="2"/>
  <c r="N49" i="2"/>
  <c r="B50" i="2"/>
  <c r="C50" i="2" s="1"/>
  <c r="E50" i="2" s="1"/>
  <c r="B55" i="2"/>
  <c r="C55" i="2" s="1"/>
  <c r="E55" i="2" s="1"/>
  <c r="B56" i="2"/>
  <c r="C56" i="2" s="1"/>
  <c r="E56" i="2" s="1"/>
  <c r="B57" i="2"/>
  <c r="C57" i="2" s="1"/>
  <c r="E57" i="2" s="1"/>
  <c r="B58" i="2"/>
  <c r="C58" i="2" s="1"/>
  <c r="E58" i="2" s="1"/>
  <c r="B59" i="2"/>
  <c r="D59" i="2" s="1"/>
  <c r="F59" i="2" s="1"/>
  <c r="B60" i="2"/>
  <c r="C60" i="2" s="1"/>
  <c r="E60" i="2" s="1"/>
  <c r="Z17" i="2"/>
  <c r="Z16" i="2" s="1"/>
  <c r="AA29" i="2"/>
  <c r="Z29" i="2"/>
  <c r="AB29" i="2" s="1"/>
  <c r="T29" i="2" s="1"/>
  <c r="U29" i="2" s="1"/>
  <c r="AA28" i="2"/>
  <c r="Z28" i="2"/>
  <c r="AB28" i="2" s="1"/>
  <c r="T28" i="2" s="1"/>
  <c r="U28" i="2" s="1"/>
  <c r="AA27" i="2"/>
  <c r="Z27" i="2"/>
  <c r="AA26" i="2"/>
  <c r="AB26" i="2" s="1"/>
  <c r="T26" i="2" s="1"/>
  <c r="U26" i="2" s="1"/>
  <c r="Z26" i="2"/>
  <c r="AA25" i="2"/>
  <c r="Z25" i="2"/>
  <c r="AA24" i="2"/>
  <c r="Z24" i="2"/>
  <c r="AA23" i="2"/>
  <c r="Z23" i="2"/>
  <c r="AB23" i="2" s="1"/>
  <c r="T23" i="2" s="1"/>
  <c r="U23" i="2" s="1"/>
  <c r="AA22" i="2"/>
  <c r="Z22" i="2"/>
  <c r="AA21" i="2"/>
  <c r="Z21" i="2"/>
  <c r="AA20" i="2"/>
  <c r="Z20" i="2"/>
  <c r="AA19" i="2"/>
  <c r="Z19" i="2"/>
  <c r="AA18" i="2"/>
  <c r="Z18" i="2"/>
  <c r="Z18" i="6"/>
  <c r="AA18" i="6"/>
  <c r="Z19" i="6"/>
  <c r="AA19" i="6"/>
  <c r="Z20" i="6"/>
  <c r="AA20" i="6"/>
  <c r="Z21" i="6"/>
  <c r="V21" i="6" s="1"/>
  <c r="AA21" i="6"/>
  <c r="Z22" i="6"/>
  <c r="AA22" i="6"/>
  <c r="Z23" i="6"/>
  <c r="V23" i="6" s="1"/>
  <c r="AA23" i="6"/>
  <c r="Z24" i="6"/>
  <c r="V24" i="6" s="1"/>
  <c r="AA24" i="6"/>
  <c r="Z25" i="6"/>
  <c r="V25" i="6" s="1"/>
  <c r="AA25" i="6"/>
  <c r="Z26" i="6"/>
  <c r="V26" i="6" s="1"/>
  <c r="AA26" i="6"/>
  <c r="Z27" i="6"/>
  <c r="AA27" i="6"/>
  <c r="Z28" i="6"/>
  <c r="V28" i="6" s="1"/>
  <c r="AA28" i="6"/>
  <c r="Z29" i="6"/>
  <c r="AA29" i="6"/>
  <c r="V20" i="6"/>
  <c r="H18" i="6"/>
  <c r="J18" i="6" s="1"/>
  <c r="B18" i="6" s="1"/>
  <c r="C18" i="6" s="1"/>
  <c r="I18" i="6"/>
  <c r="H19" i="6"/>
  <c r="D19" i="6" s="1"/>
  <c r="I19" i="6"/>
  <c r="H20" i="6"/>
  <c r="I20" i="6"/>
  <c r="J20" i="6" s="1"/>
  <c r="B20" i="6" s="1"/>
  <c r="C20" i="6" s="1"/>
  <c r="H21" i="6"/>
  <c r="I21" i="6"/>
  <c r="H22" i="6"/>
  <c r="D22" i="6" s="1"/>
  <c r="I22" i="6"/>
  <c r="H23" i="6"/>
  <c r="J23" i="6" s="1"/>
  <c r="B23" i="6" s="1"/>
  <c r="C23" i="6" s="1"/>
  <c r="I23" i="6"/>
  <c r="H24" i="6"/>
  <c r="J24" i="6" s="1"/>
  <c r="B24" i="6" s="1"/>
  <c r="C24" i="6" s="1"/>
  <c r="I24" i="6"/>
  <c r="H25" i="6"/>
  <c r="I25" i="6"/>
  <c r="H26" i="6"/>
  <c r="D26" i="6" s="1"/>
  <c r="I26" i="6"/>
  <c r="H27" i="6"/>
  <c r="D27" i="6" s="1"/>
  <c r="I27" i="6"/>
  <c r="H28" i="6"/>
  <c r="I28" i="6"/>
  <c r="J28" i="6" s="1"/>
  <c r="B28" i="6" s="1"/>
  <c r="C28" i="6" s="1"/>
  <c r="H29" i="6"/>
  <c r="I29" i="6"/>
  <c r="D20" i="6"/>
  <c r="D21" i="6"/>
  <c r="D24" i="6"/>
  <c r="D25" i="6"/>
  <c r="D28" i="6"/>
  <c r="D29" i="6"/>
  <c r="Q22" i="18"/>
  <c r="M22" i="18" s="1"/>
  <c r="Q23" i="18"/>
  <c r="M23" i="18" s="1"/>
  <c r="Q24" i="18"/>
  <c r="M24" i="18" s="1"/>
  <c r="Q25" i="18"/>
  <c r="M25" i="18" s="1"/>
  <c r="Q26" i="18"/>
  <c r="M26" i="18" s="1"/>
  <c r="Q26" i="17"/>
  <c r="M26" i="17" s="1"/>
  <c r="Q24" i="17"/>
  <c r="M24" i="17" s="1"/>
  <c r="Q23" i="17"/>
  <c r="M23" i="17" s="1"/>
  <c r="Q22" i="17"/>
  <c r="M22" i="17" s="1"/>
  <c r="Q20" i="17"/>
  <c r="M20" i="17" s="1"/>
  <c r="Q17" i="17"/>
  <c r="M17" i="17" s="1"/>
  <c r="Q15" i="17"/>
  <c r="M15" i="17" s="1"/>
  <c r="Q14" i="17"/>
  <c r="M14" i="17" s="1"/>
  <c r="H18" i="2"/>
  <c r="I18" i="2"/>
  <c r="J18" i="2"/>
  <c r="B18" i="2" s="1"/>
  <c r="C18" i="2" s="1"/>
  <c r="H19" i="2"/>
  <c r="I19" i="2"/>
  <c r="H20" i="2"/>
  <c r="D20" i="2" s="1"/>
  <c r="I20" i="2"/>
  <c r="J20" i="2"/>
  <c r="B20" i="2" s="1"/>
  <c r="C20" i="2" s="1"/>
  <c r="H21" i="2"/>
  <c r="D21" i="2" s="1"/>
  <c r="I21" i="2"/>
  <c r="H22" i="2"/>
  <c r="J22" i="2" s="1"/>
  <c r="B22" i="2" s="1"/>
  <c r="C22" i="2" s="1"/>
  <c r="I22" i="2"/>
  <c r="H23" i="2"/>
  <c r="I23" i="2"/>
  <c r="H24" i="2"/>
  <c r="I24" i="2"/>
  <c r="J24" i="2" s="1"/>
  <c r="B24" i="2" s="1"/>
  <c r="C24" i="2" s="1"/>
  <c r="H25" i="2"/>
  <c r="D25" i="2" s="1"/>
  <c r="I25" i="2"/>
  <c r="H26" i="2"/>
  <c r="D26" i="2" s="1"/>
  <c r="I26" i="2"/>
  <c r="H27" i="2"/>
  <c r="J27" i="2" s="1"/>
  <c r="B27" i="2" s="1"/>
  <c r="C27" i="2" s="1"/>
  <c r="I27" i="2"/>
  <c r="H28" i="2"/>
  <c r="J28" i="2" s="1"/>
  <c r="B28" i="2" s="1"/>
  <c r="C28" i="2" s="1"/>
  <c r="I28" i="2"/>
  <c r="H29" i="2"/>
  <c r="I29" i="2"/>
  <c r="D18" i="2"/>
  <c r="D22" i="2"/>
  <c r="D24" i="2"/>
  <c r="D28" i="2"/>
  <c r="AB59" i="14" l="1"/>
  <c r="AD59" i="14" s="1"/>
  <c r="AA59" i="14"/>
  <c r="AC59" i="14" s="1"/>
  <c r="I55" i="14"/>
  <c r="K55" i="14" s="1"/>
  <c r="J49" i="14"/>
  <c r="L49" i="14" s="1"/>
  <c r="AB42" i="14"/>
  <c r="AD42" i="14" s="1"/>
  <c r="AA42" i="14"/>
  <c r="AC42" i="14" s="1"/>
  <c r="AB55" i="14"/>
  <c r="AD55" i="14" s="1"/>
  <c r="AA55" i="14"/>
  <c r="AC55" i="14" s="1"/>
  <c r="AB35" i="14"/>
  <c r="AD35" i="14" s="1"/>
  <c r="AA35" i="14"/>
  <c r="AC35" i="14" s="1"/>
  <c r="AA57" i="14"/>
  <c r="AC57" i="14" s="1"/>
  <c r="AB57" i="14"/>
  <c r="AD57" i="14" s="1"/>
  <c r="AA53" i="14"/>
  <c r="AC53" i="14" s="1"/>
  <c r="AB53" i="14"/>
  <c r="AD53" i="14" s="1"/>
  <c r="I37" i="14"/>
  <c r="K37" i="14" s="1"/>
  <c r="AA46" i="14"/>
  <c r="AC46" i="14" s="1"/>
  <c r="AB46" i="14"/>
  <c r="AD46" i="14" s="1"/>
  <c r="I51" i="14"/>
  <c r="K51" i="14" s="1"/>
  <c r="J44" i="14"/>
  <c r="L44" i="14" s="1"/>
  <c r="J57" i="14"/>
  <c r="L57" i="14" s="1"/>
  <c r="AB49" i="14"/>
  <c r="AD49" i="14" s="1"/>
  <c r="AA49" i="14"/>
  <c r="AC49" i="14" s="1"/>
  <c r="AB36" i="14"/>
  <c r="AD36" i="14" s="1"/>
  <c r="AA36" i="14"/>
  <c r="AC36" i="14" s="1"/>
  <c r="AB38" i="14"/>
  <c r="AD38" i="14" s="1"/>
  <c r="AA38" i="14"/>
  <c r="AC38" i="14" s="1"/>
  <c r="AB43" i="14"/>
  <c r="AD43" i="14" s="1"/>
  <c r="AA43" i="14"/>
  <c r="AC43" i="14" s="1"/>
  <c r="AB45" i="14"/>
  <c r="AD45" i="14" s="1"/>
  <c r="AA45" i="14"/>
  <c r="AC45" i="14" s="1"/>
  <c r="AB50" i="14"/>
  <c r="AD50" i="14" s="1"/>
  <c r="AA50" i="14"/>
  <c r="AC50" i="14" s="1"/>
  <c r="AB52" i="14"/>
  <c r="AD52" i="14" s="1"/>
  <c r="AA52" i="14"/>
  <c r="AC52" i="14" s="1"/>
  <c r="AB54" i="14"/>
  <c r="AD54" i="14" s="1"/>
  <c r="AA54" i="14"/>
  <c r="AC54" i="14" s="1"/>
  <c r="AB56" i="14"/>
  <c r="AD56" i="14" s="1"/>
  <c r="AA56" i="14"/>
  <c r="AC56" i="14" s="1"/>
  <c r="AB58" i="14"/>
  <c r="AD58" i="14" s="1"/>
  <c r="AA58" i="14"/>
  <c r="AC58" i="14" s="1"/>
  <c r="AB60" i="14"/>
  <c r="AD60" i="14" s="1"/>
  <c r="AA60" i="14"/>
  <c r="AC60" i="14" s="1"/>
  <c r="AB37" i="14"/>
  <c r="AD37" i="14" s="1"/>
  <c r="AA37" i="14"/>
  <c r="AC37" i="14" s="1"/>
  <c r="AA44" i="14"/>
  <c r="AC44" i="14" s="1"/>
  <c r="AB44" i="14"/>
  <c r="AD44" i="14" s="1"/>
  <c r="AE44" i="14" s="1"/>
  <c r="AB39" i="14"/>
  <c r="AD39" i="14" s="1"/>
  <c r="AA39" i="14"/>
  <c r="AC39" i="14" s="1"/>
  <c r="AB51" i="14"/>
  <c r="AD51" i="14" s="1"/>
  <c r="AA51" i="14"/>
  <c r="AC51" i="14" s="1"/>
  <c r="I46" i="14"/>
  <c r="K46" i="14" s="1"/>
  <c r="J39" i="14"/>
  <c r="L39" i="14" s="1"/>
  <c r="I36" i="16"/>
  <c r="K36" i="16" s="1"/>
  <c r="I45" i="16"/>
  <c r="K45" i="16" s="1"/>
  <c r="I54" i="16"/>
  <c r="K54" i="16" s="1"/>
  <c r="I38" i="16"/>
  <c r="K38" i="16" s="1"/>
  <c r="I56" i="16"/>
  <c r="K56" i="16" s="1"/>
  <c r="AA36" i="16"/>
  <c r="AC36" i="16" s="1"/>
  <c r="AB36" i="16"/>
  <c r="AD36" i="16" s="1"/>
  <c r="AA38" i="16"/>
  <c r="AC38" i="16" s="1"/>
  <c r="AB38" i="16"/>
  <c r="AD38" i="16" s="1"/>
  <c r="AA43" i="16"/>
  <c r="AC43" i="16" s="1"/>
  <c r="AB43" i="16"/>
  <c r="AD43" i="16" s="1"/>
  <c r="AA45" i="16"/>
  <c r="AC45" i="16" s="1"/>
  <c r="AE45" i="16" s="1"/>
  <c r="AB45" i="16"/>
  <c r="AD45" i="16" s="1"/>
  <c r="AA50" i="16"/>
  <c r="AC50" i="16" s="1"/>
  <c r="AB50" i="16"/>
  <c r="AD50" i="16" s="1"/>
  <c r="AA52" i="16"/>
  <c r="AC52" i="16" s="1"/>
  <c r="AB52" i="16"/>
  <c r="AD52" i="16" s="1"/>
  <c r="AA54" i="16"/>
  <c r="AC54" i="16" s="1"/>
  <c r="AB54" i="16"/>
  <c r="AD54" i="16" s="1"/>
  <c r="AA56" i="16"/>
  <c r="AC56" i="16" s="1"/>
  <c r="AB56" i="16"/>
  <c r="AD56" i="16" s="1"/>
  <c r="AA58" i="16"/>
  <c r="AC58" i="16" s="1"/>
  <c r="AB58" i="16"/>
  <c r="AD58" i="16" s="1"/>
  <c r="AA60" i="16"/>
  <c r="AC60" i="16" s="1"/>
  <c r="AB60" i="16"/>
  <c r="AD60" i="16" s="1"/>
  <c r="I50" i="16"/>
  <c r="K50" i="16" s="1"/>
  <c r="I58" i="16"/>
  <c r="K58" i="16" s="1"/>
  <c r="I43" i="16"/>
  <c r="K43" i="16" s="1"/>
  <c r="I52" i="16"/>
  <c r="K52" i="16" s="1"/>
  <c r="I60" i="16"/>
  <c r="K60" i="16" s="1"/>
  <c r="AB35" i="16"/>
  <c r="AD35" i="16" s="1"/>
  <c r="AA35" i="16"/>
  <c r="AC35" i="16" s="1"/>
  <c r="AB37" i="16"/>
  <c r="AD37" i="16" s="1"/>
  <c r="AA37" i="16"/>
  <c r="AC37" i="16" s="1"/>
  <c r="AB39" i="16"/>
  <c r="AD39" i="16" s="1"/>
  <c r="AA39" i="16"/>
  <c r="AC39" i="16" s="1"/>
  <c r="AB42" i="16"/>
  <c r="AD42" i="16" s="1"/>
  <c r="AA42" i="16"/>
  <c r="AC42" i="16" s="1"/>
  <c r="AA44" i="16"/>
  <c r="AC44" i="16" s="1"/>
  <c r="AB44" i="16"/>
  <c r="AD44" i="16" s="1"/>
  <c r="AA46" i="16"/>
  <c r="AC46" i="16" s="1"/>
  <c r="AB46" i="16"/>
  <c r="AD46" i="16" s="1"/>
  <c r="AA49" i="16"/>
  <c r="AC49" i="16" s="1"/>
  <c r="AB49" i="16"/>
  <c r="AD49" i="16" s="1"/>
  <c r="AB51" i="16"/>
  <c r="AD51" i="16" s="1"/>
  <c r="AA51" i="16"/>
  <c r="AC51" i="16" s="1"/>
  <c r="AA53" i="16"/>
  <c r="AC53" i="16" s="1"/>
  <c r="AB53" i="16"/>
  <c r="AD53" i="16" s="1"/>
  <c r="AB55" i="16"/>
  <c r="AD55" i="16" s="1"/>
  <c r="AA55" i="16"/>
  <c r="AC55" i="16" s="1"/>
  <c r="AB57" i="16"/>
  <c r="AD57" i="16" s="1"/>
  <c r="AA57" i="16"/>
  <c r="AC57" i="16" s="1"/>
  <c r="AB59" i="16"/>
  <c r="AD59" i="16" s="1"/>
  <c r="AA59" i="16"/>
  <c r="AC59" i="16" s="1"/>
  <c r="Y36" i="14"/>
  <c r="AK36" i="14"/>
  <c r="C37" i="14"/>
  <c r="C42" i="14"/>
  <c r="C46" i="14"/>
  <c r="G46" i="14" s="1"/>
  <c r="C51" i="14"/>
  <c r="C55" i="14"/>
  <c r="C59" i="14"/>
  <c r="D35" i="14"/>
  <c r="D39" i="14"/>
  <c r="D44" i="14"/>
  <c r="D49" i="14"/>
  <c r="D53" i="14"/>
  <c r="D57" i="14"/>
  <c r="G46" i="16"/>
  <c r="C39" i="16"/>
  <c r="C57" i="16"/>
  <c r="D37" i="16"/>
  <c r="D51" i="16"/>
  <c r="I35" i="16"/>
  <c r="K35" i="16" s="1"/>
  <c r="I49" i="16"/>
  <c r="K49" i="16" s="1"/>
  <c r="J37" i="16"/>
  <c r="L37" i="16" s="1"/>
  <c r="J51" i="16"/>
  <c r="L51" i="16" s="1"/>
  <c r="J59" i="16"/>
  <c r="L59" i="16" s="1"/>
  <c r="O35" i="16"/>
  <c r="O39" i="16"/>
  <c r="O44" i="16"/>
  <c r="O49" i="16"/>
  <c r="O53" i="16"/>
  <c r="O57" i="16"/>
  <c r="P37" i="16"/>
  <c r="P42" i="16"/>
  <c r="P46" i="16"/>
  <c r="P51" i="16"/>
  <c r="P55" i="16"/>
  <c r="P59" i="16"/>
  <c r="C35" i="16"/>
  <c r="G35" i="16" s="1"/>
  <c r="C44" i="16"/>
  <c r="D46" i="16"/>
  <c r="I39" i="16"/>
  <c r="K39" i="16" s="1"/>
  <c r="I44" i="16"/>
  <c r="K44" i="16" s="1"/>
  <c r="I53" i="16"/>
  <c r="K53" i="16" s="1"/>
  <c r="I57" i="16"/>
  <c r="K57" i="16" s="1"/>
  <c r="J42" i="16"/>
  <c r="L42" i="16" s="1"/>
  <c r="J46" i="16"/>
  <c r="L46" i="16" s="1"/>
  <c r="J55" i="16"/>
  <c r="L55" i="16" s="1"/>
  <c r="C42" i="16"/>
  <c r="C55" i="16"/>
  <c r="C59" i="16"/>
  <c r="D49" i="16"/>
  <c r="D53" i="16"/>
  <c r="AK39" i="16"/>
  <c r="C42" i="3"/>
  <c r="E42" i="3" s="1"/>
  <c r="D35" i="3"/>
  <c r="F35" i="3" s="1"/>
  <c r="D39" i="3"/>
  <c r="F39" i="3" s="1"/>
  <c r="D44" i="3"/>
  <c r="F44" i="3" s="1"/>
  <c r="D49" i="3"/>
  <c r="F49" i="3" s="1"/>
  <c r="D53" i="3"/>
  <c r="F53" i="3" s="1"/>
  <c r="D57" i="3"/>
  <c r="F57" i="3" s="1"/>
  <c r="J35" i="3"/>
  <c r="J39" i="3"/>
  <c r="J44" i="3"/>
  <c r="J49" i="3"/>
  <c r="J53" i="3"/>
  <c r="J57" i="3"/>
  <c r="J39" i="13"/>
  <c r="J44" i="13"/>
  <c r="J49" i="13"/>
  <c r="J53" i="13"/>
  <c r="J57" i="13"/>
  <c r="I37" i="13"/>
  <c r="I42" i="13"/>
  <c r="I46" i="13"/>
  <c r="I51" i="13"/>
  <c r="I55" i="13"/>
  <c r="I59" i="13"/>
  <c r="I36" i="13"/>
  <c r="K36" i="13" s="1"/>
  <c r="M36" i="13" s="1"/>
  <c r="AE43" i="13"/>
  <c r="C36" i="13"/>
  <c r="E36" i="13" s="1"/>
  <c r="C35" i="13"/>
  <c r="E35" i="13" s="1"/>
  <c r="M36" i="14"/>
  <c r="R45" i="13"/>
  <c r="L35" i="13"/>
  <c r="R44" i="13"/>
  <c r="L39" i="13"/>
  <c r="M39" i="13" s="1"/>
  <c r="L44" i="13"/>
  <c r="G42" i="13"/>
  <c r="G46" i="13"/>
  <c r="Y37" i="13"/>
  <c r="G36" i="3"/>
  <c r="L42" i="3"/>
  <c r="M39" i="16"/>
  <c r="G48" i="16"/>
  <c r="S46" i="14"/>
  <c r="AK37" i="13"/>
  <c r="R46" i="13"/>
  <c r="S46" i="13" s="1"/>
  <c r="AI42" i="13"/>
  <c r="AK42" i="13" s="1"/>
  <c r="AJ36" i="13"/>
  <c r="AI36" i="13"/>
  <c r="AI41" i="13"/>
  <c r="AK41" i="13" s="1"/>
  <c r="Q43" i="13"/>
  <c r="S43" i="13" s="1"/>
  <c r="S41" i="13"/>
  <c r="Q36" i="3"/>
  <c r="S36" i="3" s="1"/>
  <c r="R46" i="3"/>
  <c r="S46" i="3" s="1"/>
  <c r="S45" i="16"/>
  <c r="S46" i="16"/>
  <c r="AE46" i="14"/>
  <c r="AE42" i="14"/>
  <c r="K39" i="13"/>
  <c r="AD39" i="3"/>
  <c r="AD34" i="3"/>
  <c r="AD46" i="3"/>
  <c r="AE46" i="3" s="1"/>
  <c r="Y35" i="13"/>
  <c r="AD37" i="13"/>
  <c r="AD46" i="13"/>
  <c r="AD40" i="13" s="1"/>
  <c r="AD34" i="13"/>
  <c r="K37" i="13"/>
  <c r="M37" i="13" s="1"/>
  <c r="AC45" i="13"/>
  <c r="AE45" i="13" s="1"/>
  <c r="L60" i="13"/>
  <c r="K48" i="13"/>
  <c r="M48" i="13" s="1"/>
  <c r="G36" i="13"/>
  <c r="Y41" i="16"/>
  <c r="AE51" i="16"/>
  <c r="AE35" i="16"/>
  <c r="G50" i="16"/>
  <c r="G52" i="16"/>
  <c r="S34" i="16"/>
  <c r="AE46" i="16"/>
  <c r="AE34" i="16"/>
  <c r="Y39" i="16"/>
  <c r="AE50" i="16"/>
  <c r="AE52" i="16"/>
  <c r="AK38" i="16"/>
  <c r="G34" i="16"/>
  <c r="S42" i="14"/>
  <c r="S41" i="14"/>
  <c r="S48" i="14"/>
  <c r="AE41" i="14"/>
  <c r="G41" i="14"/>
  <c r="AK48" i="14"/>
  <c r="M48" i="14"/>
  <c r="Y39" i="14"/>
  <c r="AK39" i="14"/>
  <c r="G45" i="14"/>
  <c r="R40" i="14"/>
  <c r="AE45" i="14"/>
  <c r="M41" i="14"/>
  <c r="Y41" i="14"/>
  <c r="AK41" i="14"/>
  <c r="AE48" i="14"/>
  <c r="Y37" i="14"/>
  <c r="AK37" i="14"/>
  <c r="G43" i="14"/>
  <c r="S43" i="14"/>
  <c r="AE43" i="14"/>
  <c r="M38" i="14"/>
  <c r="Y38" i="14"/>
  <c r="AK38" i="14"/>
  <c r="S44" i="14"/>
  <c r="AG56" i="6"/>
  <c r="AI56" i="6" s="1"/>
  <c r="AK56" i="6" s="1"/>
  <c r="AF55" i="6"/>
  <c r="AF60" i="6"/>
  <c r="AF52" i="6"/>
  <c r="AH50" i="6"/>
  <c r="AJ50" i="6" s="1"/>
  <c r="AK50" i="6" s="1"/>
  <c r="AA51" i="6"/>
  <c r="AC51" i="6" s="1"/>
  <c r="AA60" i="6"/>
  <c r="AC60" i="6" s="1"/>
  <c r="AA52" i="6"/>
  <c r="AC52" i="6" s="1"/>
  <c r="AA53" i="6"/>
  <c r="AC53" i="6" s="1"/>
  <c r="S58" i="6"/>
  <c r="O55" i="6"/>
  <c r="Q55" i="6" s="1"/>
  <c r="P55" i="6"/>
  <c r="R55" i="6" s="1"/>
  <c r="S57" i="6"/>
  <c r="P57" i="6"/>
  <c r="R57" i="6" s="1"/>
  <c r="N53" i="6"/>
  <c r="O53" i="6" s="1"/>
  <c r="Q53" i="6" s="1"/>
  <c r="P58" i="6"/>
  <c r="R58" i="6" s="1"/>
  <c r="P56" i="6"/>
  <c r="R56" i="6" s="1"/>
  <c r="S56" i="6" s="1"/>
  <c r="O59" i="6"/>
  <c r="Q59" i="6" s="1"/>
  <c r="S59" i="6" s="1"/>
  <c r="P54" i="6"/>
  <c r="R54" i="6" s="1"/>
  <c r="S54" i="6" s="1"/>
  <c r="G53" i="6"/>
  <c r="G56" i="6"/>
  <c r="G52" i="6"/>
  <c r="G55" i="6"/>
  <c r="M51" i="6"/>
  <c r="G57" i="6"/>
  <c r="G51" i="6"/>
  <c r="M57" i="6"/>
  <c r="M54" i="6"/>
  <c r="G60" i="6"/>
  <c r="M50" i="6"/>
  <c r="M53" i="6"/>
  <c r="G50" i="6"/>
  <c r="J60" i="6"/>
  <c r="L60" i="6" s="1"/>
  <c r="M60" i="6" s="1"/>
  <c r="D54" i="6"/>
  <c r="F54" i="6" s="1"/>
  <c r="G54" i="6" s="1"/>
  <c r="D55" i="6"/>
  <c r="F55" i="6" s="1"/>
  <c r="D58" i="6"/>
  <c r="F58" i="6" s="1"/>
  <c r="G58" i="6" s="1"/>
  <c r="J52" i="6"/>
  <c r="L52" i="6" s="1"/>
  <c r="M52" i="6" s="1"/>
  <c r="D59" i="6"/>
  <c r="F59" i="6" s="1"/>
  <c r="G59" i="6" s="1"/>
  <c r="J53" i="6"/>
  <c r="L53" i="6" s="1"/>
  <c r="D50" i="6"/>
  <c r="F50" i="6" s="1"/>
  <c r="J57" i="6"/>
  <c r="L57" i="6" s="1"/>
  <c r="D51" i="6"/>
  <c r="F51" i="6" s="1"/>
  <c r="Y59" i="6"/>
  <c r="AK54" i="6"/>
  <c r="Y53" i="6"/>
  <c r="Y51" i="6"/>
  <c r="S60" i="6"/>
  <c r="AH59" i="6"/>
  <c r="AJ59" i="6" s="1"/>
  <c r="AK59" i="6" s="1"/>
  <c r="V59" i="6"/>
  <c r="X59" i="6" s="1"/>
  <c r="AB52" i="6"/>
  <c r="AD52" i="6" s="1"/>
  <c r="P52" i="6"/>
  <c r="R52" i="6" s="1"/>
  <c r="S52" i="6" s="1"/>
  <c r="AH57" i="6"/>
  <c r="AJ57" i="6" s="1"/>
  <c r="AK57" i="6" s="1"/>
  <c r="V57" i="6"/>
  <c r="X57" i="6" s="1"/>
  <c r="Y57" i="6" s="1"/>
  <c r="AB51" i="6"/>
  <c r="AD51" i="6" s="1"/>
  <c r="P51" i="6"/>
  <c r="R51" i="6" s="1"/>
  <c r="S51" i="6" s="1"/>
  <c r="AB50" i="6"/>
  <c r="AD50" i="6" s="1"/>
  <c r="AE50" i="6" s="1"/>
  <c r="P50" i="6"/>
  <c r="R50" i="6" s="1"/>
  <c r="S50" i="6" s="1"/>
  <c r="P60" i="6"/>
  <c r="R60" i="6" s="1"/>
  <c r="AH54" i="6"/>
  <c r="AJ54" i="6" s="1"/>
  <c r="V54" i="6"/>
  <c r="X54" i="6" s="1"/>
  <c r="Y54" i="6" s="1"/>
  <c r="G48" i="3"/>
  <c r="W39" i="3"/>
  <c r="W46" i="3"/>
  <c r="AJ43" i="3"/>
  <c r="M48" i="3"/>
  <c r="AK48" i="3"/>
  <c r="G37" i="3"/>
  <c r="Y41" i="3"/>
  <c r="AC39" i="3"/>
  <c r="S48" i="3"/>
  <c r="R37" i="3"/>
  <c r="AC45" i="3"/>
  <c r="AD45" i="3"/>
  <c r="AJ39" i="3"/>
  <c r="AD37" i="3"/>
  <c r="AC37" i="3"/>
  <c r="AJ46" i="3"/>
  <c r="AI42" i="3"/>
  <c r="Y48" i="3"/>
  <c r="R45" i="3"/>
  <c r="G39" i="3"/>
  <c r="G41" i="3"/>
  <c r="AK41" i="3"/>
  <c r="G60" i="3"/>
  <c r="AE48" i="3"/>
  <c r="L39" i="3"/>
  <c r="M41" i="3"/>
  <c r="L43" i="3"/>
  <c r="Q34" i="3"/>
  <c r="AC34" i="3"/>
  <c r="K34" i="3"/>
  <c r="AI34" i="3"/>
  <c r="R41" i="3"/>
  <c r="G42" i="3"/>
  <c r="X33" i="13"/>
  <c r="L43" i="13"/>
  <c r="R37" i="13"/>
  <c r="Q37" i="13"/>
  <c r="AK39" i="13"/>
  <c r="Y41" i="13"/>
  <c r="G45" i="13"/>
  <c r="S48" i="13"/>
  <c r="W38" i="13"/>
  <c r="W60" i="13"/>
  <c r="Y36" i="13"/>
  <c r="G41" i="13"/>
  <c r="E40" i="13"/>
  <c r="AE41" i="13"/>
  <c r="Y48" i="13"/>
  <c r="G37" i="13"/>
  <c r="S45" i="13"/>
  <c r="AK48" i="13"/>
  <c r="L46" i="13"/>
  <c r="AJ46" i="13"/>
  <c r="G60" i="13"/>
  <c r="L38" i="13"/>
  <c r="M41" i="13"/>
  <c r="AE48" i="13"/>
  <c r="AJ60" i="13"/>
  <c r="AD39" i="13"/>
  <c r="AC39" i="13"/>
  <c r="Y39" i="13"/>
  <c r="AJ43" i="13"/>
  <c r="F40" i="13"/>
  <c r="Q34" i="13"/>
  <c r="AC34" i="13"/>
  <c r="K34" i="13"/>
  <c r="AI34" i="13"/>
  <c r="T24" i="13"/>
  <c r="U24" i="13"/>
  <c r="V24" i="13" s="1"/>
  <c r="T23" i="13"/>
  <c r="U23" i="13"/>
  <c r="V23" i="13" s="1"/>
  <c r="U28" i="13"/>
  <c r="V28" i="13" s="1"/>
  <c r="T28" i="13"/>
  <c r="T27" i="13"/>
  <c r="U27" i="13"/>
  <c r="V27" i="13" s="1"/>
  <c r="U20" i="13"/>
  <c r="V20" i="13" s="1"/>
  <c r="T20" i="13"/>
  <c r="T25" i="13"/>
  <c r="U25" i="13"/>
  <c r="V25" i="13" s="1"/>
  <c r="T19" i="13"/>
  <c r="U19" i="13"/>
  <c r="V19" i="13" s="1"/>
  <c r="B23" i="13"/>
  <c r="C23" i="13"/>
  <c r="D23" i="13" s="1"/>
  <c r="C28" i="13"/>
  <c r="D28" i="13" s="1"/>
  <c r="B28" i="13"/>
  <c r="B27" i="13"/>
  <c r="C27" i="13"/>
  <c r="D27" i="13" s="1"/>
  <c r="C21" i="13"/>
  <c r="D21" i="13" s="1"/>
  <c r="B24" i="13"/>
  <c r="C24" i="13"/>
  <c r="D24" i="13" s="1"/>
  <c r="C20" i="13"/>
  <c r="D20" i="13" s="1"/>
  <c r="B20" i="13"/>
  <c r="C25" i="13"/>
  <c r="D25" i="13" s="1"/>
  <c r="B25" i="13"/>
  <c r="C19" i="13"/>
  <c r="D19" i="13" s="1"/>
  <c r="B19" i="13"/>
  <c r="T25" i="14"/>
  <c r="U25" i="14"/>
  <c r="V25" i="14" s="1"/>
  <c r="T19" i="14"/>
  <c r="U19" i="14"/>
  <c r="V19" i="14" s="1"/>
  <c r="T26" i="14"/>
  <c r="U26" i="14"/>
  <c r="V26" i="14" s="1"/>
  <c r="T24" i="14"/>
  <c r="U24" i="14"/>
  <c r="V24" i="14" s="1"/>
  <c r="U23" i="14"/>
  <c r="V23" i="14" s="1"/>
  <c r="T28" i="14"/>
  <c r="U28" i="14"/>
  <c r="V28" i="14" s="1"/>
  <c r="U27" i="14"/>
  <c r="V27" i="14" s="1"/>
  <c r="U21" i="14"/>
  <c r="V21" i="14" s="1"/>
  <c r="T20" i="14"/>
  <c r="U20" i="14"/>
  <c r="V20" i="14" s="1"/>
  <c r="AB29" i="14"/>
  <c r="T29" i="14" s="1"/>
  <c r="AB21" i="14"/>
  <c r="T21" i="14" s="1"/>
  <c r="C24" i="14"/>
  <c r="D24" i="14" s="1"/>
  <c r="C29" i="14"/>
  <c r="D29" i="14" s="1"/>
  <c r="C23" i="14"/>
  <c r="D23" i="14" s="1"/>
  <c r="B28" i="14"/>
  <c r="C28" i="14"/>
  <c r="D28" i="14" s="1"/>
  <c r="C22" i="14"/>
  <c r="D22" i="14" s="1"/>
  <c r="B22" i="14"/>
  <c r="C27" i="14"/>
  <c r="D27" i="14" s="1"/>
  <c r="B21" i="14"/>
  <c r="C21" i="14"/>
  <c r="D21" i="14" s="1"/>
  <c r="C26" i="14"/>
  <c r="D26" i="14" s="1"/>
  <c r="B20" i="14"/>
  <c r="C20" i="14"/>
  <c r="D20" i="14" s="1"/>
  <c r="C25" i="14"/>
  <c r="D25" i="14" s="1"/>
  <c r="B25" i="14"/>
  <c r="B19" i="14"/>
  <c r="C19" i="14"/>
  <c r="D19" i="14" s="1"/>
  <c r="J29" i="14"/>
  <c r="B29" i="14" s="1"/>
  <c r="U19" i="16"/>
  <c r="V19" i="16" s="1"/>
  <c r="T19" i="16"/>
  <c r="U28" i="16"/>
  <c r="V28" i="16" s="1"/>
  <c r="T28" i="16"/>
  <c r="T23" i="16"/>
  <c r="U23" i="16"/>
  <c r="V23" i="16" s="1"/>
  <c r="U27" i="16"/>
  <c r="V27" i="16" s="1"/>
  <c r="T27" i="16"/>
  <c r="T24" i="16"/>
  <c r="U24" i="16"/>
  <c r="V24" i="16" s="1"/>
  <c r="U20" i="16"/>
  <c r="V20" i="16" s="1"/>
  <c r="T20" i="16"/>
  <c r="U21" i="16"/>
  <c r="V21" i="16" s="1"/>
  <c r="C26" i="16"/>
  <c r="D26" i="16" s="1"/>
  <c r="B26" i="16"/>
  <c r="C24" i="16"/>
  <c r="D24" i="16" s="1"/>
  <c r="C25" i="16"/>
  <c r="D25" i="16" s="1"/>
  <c r="B25" i="16"/>
  <c r="C23" i="16"/>
  <c r="D23" i="16" s="1"/>
  <c r="B29" i="16"/>
  <c r="C29" i="16"/>
  <c r="D29" i="16" s="1"/>
  <c r="C20" i="16"/>
  <c r="D20" i="16" s="1"/>
  <c r="B20" i="16"/>
  <c r="C28" i="16"/>
  <c r="D28" i="16" s="1"/>
  <c r="B28" i="16"/>
  <c r="C21" i="16"/>
  <c r="D21" i="16" s="1"/>
  <c r="B21" i="16"/>
  <c r="J22" i="16"/>
  <c r="B22" i="16" s="1"/>
  <c r="AK41" i="2"/>
  <c r="AG60" i="2"/>
  <c r="AI60" i="2" s="1"/>
  <c r="AK60" i="2" s="1"/>
  <c r="AG57" i="2"/>
  <c r="AI57" i="2" s="1"/>
  <c r="AK57" i="2" s="1"/>
  <c r="AG54" i="2"/>
  <c r="AI54" i="2" s="1"/>
  <c r="AK54" i="2" s="1"/>
  <c r="AG51" i="2"/>
  <c r="AI51" i="2" s="1"/>
  <c r="Z58" i="2"/>
  <c r="AB58" i="2" s="1"/>
  <c r="AD58" i="2" s="1"/>
  <c r="Z50" i="2"/>
  <c r="AB50" i="2" s="1"/>
  <c r="AD50" i="2" s="1"/>
  <c r="Z60" i="2"/>
  <c r="AB60" i="2" s="1"/>
  <c r="AD60" i="2" s="1"/>
  <c r="Z54" i="2"/>
  <c r="AB54" i="2" s="1"/>
  <c r="AD54" i="2" s="1"/>
  <c r="Z56" i="2"/>
  <c r="AB56" i="2" s="1"/>
  <c r="AD56" i="2" s="1"/>
  <c r="Z52" i="2"/>
  <c r="AB52" i="2" s="1"/>
  <c r="AD52" i="2" s="1"/>
  <c r="Z53" i="2"/>
  <c r="AB53" i="2"/>
  <c r="AD53" i="2" s="1"/>
  <c r="AA53" i="2"/>
  <c r="AC53" i="2" s="1"/>
  <c r="AA51" i="2"/>
  <c r="AC51" i="2" s="1"/>
  <c r="AE51" i="2" s="1"/>
  <c r="Z57" i="2"/>
  <c r="Z59" i="2"/>
  <c r="Z55" i="2"/>
  <c r="AA60" i="2"/>
  <c r="AC60" i="2" s="1"/>
  <c r="AA58" i="2"/>
  <c r="AC58" i="2" s="1"/>
  <c r="AE58" i="2" s="1"/>
  <c r="AA56" i="2"/>
  <c r="AC56" i="2" s="1"/>
  <c r="AE56" i="2" s="1"/>
  <c r="AA54" i="2"/>
  <c r="AC54" i="2" s="1"/>
  <c r="AE54" i="2" s="1"/>
  <c r="AA52" i="2"/>
  <c r="AC52" i="2" s="1"/>
  <c r="AE52" i="2" s="1"/>
  <c r="AA50" i="2"/>
  <c r="AC50" i="2" s="1"/>
  <c r="AE50" i="2" s="1"/>
  <c r="AK59" i="2"/>
  <c r="AK55" i="2"/>
  <c r="AK53" i="2"/>
  <c r="AK51" i="2"/>
  <c r="AK58" i="2"/>
  <c r="AK56" i="2"/>
  <c r="AK52" i="2"/>
  <c r="AK50" i="2"/>
  <c r="AE60" i="2"/>
  <c r="C51" i="2"/>
  <c r="E51" i="2" s="1"/>
  <c r="D51" i="2"/>
  <c r="F51" i="2" s="1"/>
  <c r="B54" i="2"/>
  <c r="C54" i="2" s="1"/>
  <c r="E54" i="2" s="1"/>
  <c r="B53" i="2"/>
  <c r="B52" i="2"/>
  <c r="C59" i="2"/>
  <c r="E59" i="2" s="1"/>
  <c r="G59" i="2" s="1"/>
  <c r="D50" i="2"/>
  <c r="F50" i="2" s="1"/>
  <c r="G50" i="2" s="1"/>
  <c r="D60" i="2"/>
  <c r="F60" i="2" s="1"/>
  <c r="G60" i="2" s="1"/>
  <c r="D58" i="2"/>
  <c r="F58" i="2" s="1"/>
  <c r="G58" i="2" s="1"/>
  <c r="G51" i="2"/>
  <c r="D57" i="2"/>
  <c r="F57" i="2" s="1"/>
  <c r="G57" i="2" s="1"/>
  <c r="D56" i="2"/>
  <c r="F56" i="2" s="1"/>
  <c r="G56" i="2" s="1"/>
  <c r="D55" i="2"/>
  <c r="F55" i="2" s="1"/>
  <c r="G55" i="2" s="1"/>
  <c r="D54" i="2"/>
  <c r="F54" i="2" s="1"/>
  <c r="G54" i="2" s="1"/>
  <c r="J19" i="2"/>
  <c r="B19" i="2" s="1"/>
  <c r="C19" i="2" s="1"/>
  <c r="J26" i="6"/>
  <c r="B26" i="6" s="1"/>
  <c r="C26" i="6" s="1"/>
  <c r="J21" i="6"/>
  <c r="B21" i="6" s="1"/>
  <c r="C21" i="6" s="1"/>
  <c r="J23" i="2"/>
  <c r="B23" i="2" s="1"/>
  <c r="C23" i="2" s="1"/>
  <c r="J25" i="6"/>
  <c r="B25" i="6" s="1"/>
  <c r="C25" i="6" s="1"/>
  <c r="J26" i="2"/>
  <c r="B26" i="2" s="1"/>
  <c r="C26" i="2" s="1"/>
  <c r="D18" i="6"/>
  <c r="AB22" i="2"/>
  <c r="T22" i="2" s="1"/>
  <c r="U22" i="2" s="1"/>
  <c r="J29" i="6"/>
  <c r="B29" i="6" s="1"/>
  <c r="C29" i="6" s="1"/>
  <c r="J25" i="2"/>
  <c r="B25" i="2" s="1"/>
  <c r="C25" i="2" s="1"/>
  <c r="J22" i="6"/>
  <c r="B22" i="6" s="1"/>
  <c r="C22" i="6" s="1"/>
  <c r="J29" i="2"/>
  <c r="B29" i="2" s="1"/>
  <c r="C29" i="2" s="1"/>
  <c r="AB29" i="6"/>
  <c r="T29" i="6" s="1"/>
  <c r="U29" i="6" s="1"/>
  <c r="AB19" i="2"/>
  <c r="T19" i="2" s="1"/>
  <c r="U19" i="2" s="1"/>
  <c r="AB25" i="2"/>
  <c r="T25" i="2" s="1"/>
  <c r="U25" i="2" s="1"/>
  <c r="AB20" i="6"/>
  <c r="T20" i="6" s="1"/>
  <c r="U20" i="6" s="1"/>
  <c r="AB19" i="6"/>
  <c r="T19" i="6" s="1"/>
  <c r="U19" i="6" s="1"/>
  <c r="AB28" i="6"/>
  <c r="T28" i="6" s="1"/>
  <c r="U28" i="6" s="1"/>
  <c r="V29" i="6"/>
  <c r="AB23" i="6"/>
  <c r="T23" i="6" s="1"/>
  <c r="U23" i="6" s="1"/>
  <c r="AB22" i="6"/>
  <c r="T22" i="6" s="1"/>
  <c r="U22" i="6" s="1"/>
  <c r="AB18" i="2"/>
  <c r="T18" i="2" s="1"/>
  <c r="U18" i="2" s="1"/>
  <c r="AB24" i="2"/>
  <c r="T24" i="2" s="1"/>
  <c r="U24" i="2" s="1"/>
  <c r="AB27" i="6"/>
  <c r="T27" i="6" s="1"/>
  <c r="U27" i="6" s="1"/>
  <c r="V22" i="6"/>
  <c r="AB25" i="6"/>
  <c r="T25" i="6" s="1"/>
  <c r="U25" i="6" s="1"/>
  <c r="V19" i="6"/>
  <c r="AB18" i="6"/>
  <c r="T18" i="6" s="1"/>
  <c r="U18" i="6" s="1"/>
  <c r="V18" i="6"/>
  <c r="AB21" i="6"/>
  <c r="T21" i="6" s="1"/>
  <c r="U21" i="6" s="1"/>
  <c r="AB24" i="6"/>
  <c r="T24" i="6" s="1"/>
  <c r="U24" i="6" s="1"/>
  <c r="V27" i="6"/>
  <c r="AB20" i="2"/>
  <c r="T20" i="2" s="1"/>
  <c r="U20" i="2" s="1"/>
  <c r="AB21" i="2"/>
  <c r="T21" i="2" s="1"/>
  <c r="U21" i="2" s="1"/>
  <c r="AB27" i="2"/>
  <c r="T27" i="2" s="1"/>
  <c r="U27" i="2" s="1"/>
  <c r="AB26" i="6"/>
  <c r="T26" i="6" s="1"/>
  <c r="U26" i="6" s="1"/>
  <c r="V25" i="2"/>
  <c r="V21" i="2"/>
  <c r="V29" i="2"/>
  <c r="V28" i="2"/>
  <c r="V24" i="2"/>
  <c r="V20" i="2"/>
  <c r="V27" i="2"/>
  <c r="V23" i="2"/>
  <c r="V19" i="2"/>
  <c r="V26" i="2"/>
  <c r="V22" i="2"/>
  <c r="V18" i="2"/>
  <c r="D23" i="6"/>
  <c r="J27" i="6"/>
  <c r="B27" i="6" s="1"/>
  <c r="C27" i="6" s="1"/>
  <c r="J19" i="6"/>
  <c r="B19" i="6" s="1"/>
  <c r="C19" i="6" s="1"/>
  <c r="D29" i="2"/>
  <c r="D23" i="2"/>
  <c r="J21" i="2"/>
  <c r="B21" i="2" s="1"/>
  <c r="C21" i="2" s="1"/>
  <c r="D19" i="2"/>
  <c r="D27" i="2"/>
  <c r="H5" i="6"/>
  <c r="I5" i="6"/>
  <c r="Y60" i="14" l="1"/>
  <c r="M39" i="14"/>
  <c r="AJ33" i="14"/>
  <c r="AK46" i="14"/>
  <c r="Y46" i="14"/>
  <c r="AE49" i="16"/>
  <c r="W36" i="3"/>
  <c r="Y36" i="3" s="1"/>
  <c r="W43" i="3"/>
  <c r="Y43" i="3" s="1"/>
  <c r="W42" i="3"/>
  <c r="Y42" i="3" s="1"/>
  <c r="W46" i="13"/>
  <c r="Y46" i="13" s="1"/>
  <c r="AK36" i="13"/>
  <c r="W44" i="13"/>
  <c r="Y44" i="13" s="1"/>
  <c r="W43" i="13"/>
  <c r="Y43" i="13" s="1"/>
  <c r="W42" i="13"/>
  <c r="Y42" i="13" s="1"/>
  <c r="R40" i="13"/>
  <c r="L33" i="13"/>
  <c r="F40" i="14"/>
  <c r="G44" i="14"/>
  <c r="S35" i="16"/>
  <c r="G36" i="16"/>
  <c r="M37" i="14"/>
  <c r="G42" i="14"/>
  <c r="G39" i="14"/>
  <c r="M46" i="14"/>
  <c r="Y35" i="14"/>
  <c r="AE60" i="16"/>
  <c r="AE36" i="16"/>
  <c r="G39" i="16"/>
  <c r="AE48" i="16"/>
  <c r="Q42" i="13"/>
  <c r="S42" i="13" s="1"/>
  <c r="AI38" i="13"/>
  <c r="AI60" i="13"/>
  <c r="AK60" i="13" s="1"/>
  <c r="AJ38" i="13"/>
  <c r="AJ33" i="13" s="1"/>
  <c r="AI35" i="13"/>
  <c r="R36" i="13"/>
  <c r="S36" i="13" s="1"/>
  <c r="AI44" i="13"/>
  <c r="AK44" i="13" s="1"/>
  <c r="AI43" i="13"/>
  <c r="AK43" i="13" s="1"/>
  <c r="AI46" i="13"/>
  <c r="AK46" i="13" s="1"/>
  <c r="Q60" i="13"/>
  <c r="S60" i="13" s="1"/>
  <c r="Q44" i="13"/>
  <c r="S44" i="13" s="1"/>
  <c r="AI46" i="3"/>
  <c r="AK46" i="3" s="1"/>
  <c r="AI36" i="3"/>
  <c r="AK36" i="3" s="1"/>
  <c r="AI39" i="3"/>
  <c r="AK39" i="3" s="1"/>
  <c r="Q42" i="3"/>
  <c r="S42" i="3" s="1"/>
  <c r="AI43" i="3"/>
  <c r="Q45" i="3"/>
  <c r="S45" i="3" s="1"/>
  <c r="Q37" i="3"/>
  <c r="S37" i="3" s="1"/>
  <c r="S36" i="14"/>
  <c r="AK35" i="14"/>
  <c r="S45" i="14"/>
  <c r="AE58" i="16"/>
  <c r="AE39" i="16"/>
  <c r="AE53" i="16"/>
  <c r="AE55" i="16"/>
  <c r="M38" i="16"/>
  <c r="AE36" i="14"/>
  <c r="AE39" i="14"/>
  <c r="AD40" i="14"/>
  <c r="L33" i="14"/>
  <c r="M60" i="14"/>
  <c r="K36" i="3"/>
  <c r="M36" i="3" s="1"/>
  <c r="AD41" i="3"/>
  <c r="AE41" i="3" s="1"/>
  <c r="K43" i="3"/>
  <c r="M43" i="3" s="1"/>
  <c r="K39" i="3"/>
  <c r="M39" i="3" s="1"/>
  <c r="AC42" i="3"/>
  <c r="AE42" i="3" s="1"/>
  <c r="K42" i="3"/>
  <c r="M42" i="3" s="1"/>
  <c r="AD36" i="3"/>
  <c r="AC44" i="13"/>
  <c r="AE44" i="13" s="1"/>
  <c r="K60" i="13"/>
  <c r="M60" i="13" s="1"/>
  <c r="K46" i="13"/>
  <c r="M46" i="13" s="1"/>
  <c r="K43" i="13"/>
  <c r="M43" i="13" s="1"/>
  <c r="AC42" i="13"/>
  <c r="K44" i="13"/>
  <c r="M44" i="13" s="1"/>
  <c r="K42" i="13"/>
  <c r="M42" i="13" s="1"/>
  <c r="K35" i="13"/>
  <c r="M35" i="13" s="1"/>
  <c r="AD36" i="13"/>
  <c r="AE46" i="13"/>
  <c r="K38" i="13"/>
  <c r="M38" i="13" s="1"/>
  <c r="F33" i="16"/>
  <c r="AE41" i="16"/>
  <c r="AK34" i="16"/>
  <c r="AE57" i="16"/>
  <c r="G57" i="16"/>
  <c r="S41" i="16"/>
  <c r="Y34" i="16"/>
  <c r="G41" i="16"/>
  <c r="M34" i="16"/>
  <c r="M41" i="16"/>
  <c r="M48" i="16"/>
  <c r="M42" i="16"/>
  <c r="S57" i="16"/>
  <c r="G44" i="16"/>
  <c r="AK48" i="16"/>
  <c r="AK41" i="16"/>
  <c r="S48" i="16"/>
  <c r="Y48" i="16"/>
  <c r="S36" i="16"/>
  <c r="Y38" i="16"/>
  <c r="S34" i="14"/>
  <c r="M34" i="14"/>
  <c r="K33" i="14"/>
  <c r="AK60" i="14"/>
  <c r="Y59" i="14"/>
  <c r="S52" i="14"/>
  <c r="G34" i="14"/>
  <c r="W33" i="14"/>
  <c r="Y34" i="14"/>
  <c r="AC40" i="14"/>
  <c r="AE40" i="14" s="1"/>
  <c r="AK42" i="14"/>
  <c r="M35" i="14"/>
  <c r="S51" i="14"/>
  <c r="G59" i="14"/>
  <c r="G36" i="14"/>
  <c r="M42" i="14"/>
  <c r="X33" i="14"/>
  <c r="Q40" i="14"/>
  <c r="S40" i="14" s="1"/>
  <c r="G35" i="14"/>
  <c r="E40" i="14"/>
  <c r="AK34" i="14"/>
  <c r="AI33" i="14"/>
  <c r="AE34" i="14"/>
  <c r="Y42" i="14"/>
  <c r="AG52" i="6"/>
  <c r="AI52" i="6" s="1"/>
  <c r="AK52" i="6" s="1"/>
  <c r="AH52" i="6"/>
  <c r="AJ52" i="6" s="1"/>
  <c r="AG60" i="6"/>
  <c r="AI60" i="6" s="1"/>
  <c r="AH60" i="6"/>
  <c r="AJ60" i="6" s="1"/>
  <c r="AG55" i="6"/>
  <c r="AI55" i="6" s="1"/>
  <c r="AK55" i="6" s="1"/>
  <c r="AH55" i="6"/>
  <c r="AJ55" i="6" s="1"/>
  <c r="AE52" i="6"/>
  <c r="AA57" i="6"/>
  <c r="AC57" i="6" s="1"/>
  <c r="AB57" i="6"/>
  <c r="AD57" i="6" s="1"/>
  <c r="AB53" i="6"/>
  <c r="AD53" i="6" s="1"/>
  <c r="AE53" i="6" s="1"/>
  <c r="AA55" i="6"/>
  <c r="AC55" i="6" s="1"/>
  <c r="AB55" i="6"/>
  <c r="AD55" i="6" s="1"/>
  <c r="AE51" i="6"/>
  <c r="AA56" i="6"/>
  <c r="AC56" i="6" s="1"/>
  <c r="AB56" i="6"/>
  <c r="AD56" i="6" s="1"/>
  <c r="AB59" i="6"/>
  <c r="AD59" i="6" s="1"/>
  <c r="AA59" i="6"/>
  <c r="AC59" i="6" s="1"/>
  <c r="AB60" i="6"/>
  <c r="AD60" i="6" s="1"/>
  <c r="AE60" i="6" s="1"/>
  <c r="AA54" i="6"/>
  <c r="AC54" i="6" s="1"/>
  <c r="AB54" i="6"/>
  <c r="AD54" i="6" s="1"/>
  <c r="AA58" i="6"/>
  <c r="AC58" i="6" s="1"/>
  <c r="AB58" i="6"/>
  <c r="AD58" i="6" s="1"/>
  <c r="P53" i="6"/>
  <c r="R53" i="6" s="1"/>
  <c r="S53" i="6" s="1"/>
  <c r="S55" i="6"/>
  <c r="R54" i="3"/>
  <c r="L60" i="3"/>
  <c r="AJ60" i="3"/>
  <c r="AI60" i="3"/>
  <c r="AJ56" i="3"/>
  <c r="AI56" i="3"/>
  <c r="AJ52" i="3"/>
  <c r="AI52" i="3"/>
  <c r="AJ35" i="3"/>
  <c r="AI35" i="3"/>
  <c r="R39" i="3"/>
  <c r="Q39" i="3"/>
  <c r="AD58" i="3"/>
  <c r="AD54" i="3"/>
  <c r="AC54" i="3"/>
  <c r="AD50" i="3"/>
  <c r="AC50" i="3"/>
  <c r="AE39" i="3"/>
  <c r="Y46" i="3"/>
  <c r="W52" i="3"/>
  <c r="R50" i="3"/>
  <c r="L52" i="3"/>
  <c r="K52" i="3"/>
  <c r="W59" i="3"/>
  <c r="W51" i="3"/>
  <c r="AD38" i="3"/>
  <c r="AC38" i="3"/>
  <c r="Y39" i="3"/>
  <c r="R44" i="3"/>
  <c r="X40" i="3"/>
  <c r="W44" i="3"/>
  <c r="AJ55" i="3"/>
  <c r="AI55" i="3"/>
  <c r="L44" i="3"/>
  <c r="K44" i="3"/>
  <c r="AD57" i="3"/>
  <c r="AC57" i="3"/>
  <c r="Y34" i="3"/>
  <c r="R53" i="3"/>
  <c r="Q53" i="3"/>
  <c r="R49" i="3"/>
  <c r="Q49" i="3"/>
  <c r="AE45" i="3"/>
  <c r="AJ38" i="3"/>
  <c r="AI38" i="3"/>
  <c r="L59" i="3"/>
  <c r="K59" i="3"/>
  <c r="L55" i="3"/>
  <c r="L51" i="3"/>
  <c r="M34" i="3"/>
  <c r="R38" i="3"/>
  <c r="G57" i="3"/>
  <c r="G45" i="3"/>
  <c r="AK34" i="3"/>
  <c r="R57" i="3"/>
  <c r="W38" i="3"/>
  <c r="AJ37" i="3"/>
  <c r="AJ58" i="3"/>
  <c r="AJ54" i="3"/>
  <c r="AJ50" i="3"/>
  <c r="AD56" i="3"/>
  <c r="AC56" i="3"/>
  <c r="AD52" i="3"/>
  <c r="AE37" i="3"/>
  <c r="AD44" i="3"/>
  <c r="AC44" i="3"/>
  <c r="W56" i="3"/>
  <c r="AJ44" i="3"/>
  <c r="AI44" i="3"/>
  <c r="G44" i="3"/>
  <c r="W37" i="3"/>
  <c r="W54" i="3"/>
  <c r="W50" i="3"/>
  <c r="AD60" i="3"/>
  <c r="AC60" i="3"/>
  <c r="R56" i="3"/>
  <c r="Q56" i="3"/>
  <c r="R52" i="3"/>
  <c r="S41" i="3"/>
  <c r="R58" i="3"/>
  <c r="Q58" i="3"/>
  <c r="L38" i="3"/>
  <c r="K38" i="3"/>
  <c r="W58" i="3"/>
  <c r="L46" i="3"/>
  <c r="L37" i="3"/>
  <c r="K37" i="3"/>
  <c r="L58" i="3"/>
  <c r="K58" i="3"/>
  <c r="L54" i="3"/>
  <c r="K54" i="3"/>
  <c r="L50" i="3"/>
  <c r="K50" i="3"/>
  <c r="R60" i="3"/>
  <c r="Q60" i="3"/>
  <c r="G56" i="3"/>
  <c r="G35" i="3"/>
  <c r="F33" i="3"/>
  <c r="AK42" i="3"/>
  <c r="L56" i="3"/>
  <c r="AJ59" i="3"/>
  <c r="AD53" i="3"/>
  <c r="AJ57" i="3"/>
  <c r="AJ53" i="3"/>
  <c r="AJ49" i="3"/>
  <c r="AI49" i="3"/>
  <c r="AJ45" i="3"/>
  <c r="AI45" i="3"/>
  <c r="AD59" i="3"/>
  <c r="AD55" i="3"/>
  <c r="AD51" i="3"/>
  <c r="AE34" i="3"/>
  <c r="X33" i="3"/>
  <c r="W35" i="3"/>
  <c r="L35" i="3"/>
  <c r="AJ51" i="3"/>
  <c r="AD49" i="3"/>
  <c r="AC49" i="3"/>
  <c r="W49" i="3"/>
  <c r="R55" i="3"/>
  <c r="R51" i="3"/>
  <c r="S34" i="3"/>
  <c r="R59" i="3"/>
  <c r="F40" i="3"/>
  <c r="L57" i="3"/>
  <c r="K57" i="3"/>
  <c r="L53" i="3"/>
  <c r="L49" i="3"/>
  <c r="K49" i="3"/>
  <c r="G59" i="3"/>
  <c r="G34" i="3"/>
  <c r="E33" i="3"/>
  <c r="W57" i="13"/>
  <c r="AD57" i="13"/>
  <c r="AD53" i="13"/>
  <c r="AD49" i="13"/>
  <c r="AC49" i="13"/>
  <c r="L57" i="13"/>
  <c r="L53" i="13"/>
  <c r="K53" i="13"/>
  <c r="L49" i="13"/>
  <c r="K49" i="13"/>
  <c r="R39" i="13"/>
  <c r="Q39" i="13"/>
  <c r="R57" i="13"/>
  <c r="R53" i="13"/>
  <c r="R49" i="13"/>
  <c r="Q49" i="13"/>
  <c r="Y60" i="13"/>
  <c r="L50" i="13"/>
  <c r="K50" i="13"/>
  <c r="AK34" i="13"/>
  <c r="G57" i="13"/>
  <c r="Y34" i="13"/>
  <c r="W33" i="13"/>
  <c r="R38" i="13"/>
  <c r="AD56" i="13"/>
  <c r="AC56" i="13"/>
  <c r="AC52" i="13"/>
  <c r="AD52" i="13"/>
  <c r="AD35" i="13"/>
  <c r="L56" i="13"/>
  <c r="K56" i="13"/>
  <c r="L52" i="13"/>
  <c r="M34" i="13"/>
  <c r="R56" i="13"/>
  <c r="R52" i="13"/>
  <c r="Q35" i="13"/>
  <c r="Q40" i="13"/>
  <c r="R58" i="13"/>
  <c r="AJ52" i="13"/>
  <c r="AJ59" i="13"/>
  <c r="AI59" i="13"/>
  <c r="AJ55" i="13"/>
  <c r="AJ51" i="13"/>
  <c r="AD60" i="13"/>
  <c r="G52" i="13"/>
  <c r="W54" i="13"/>
  <c r="L54" i="13"/>
  <c r="K54" i="13"/>
  <c r="AJ56" i="13"/>
  <c r="AD38" i="13"/>
  <c r="AC38" i="13"/>
  <c r="W59" i="13"/>
  <c r="W55" i="13"/>
  <c r="W51" i="13"/>
  <c r="AD59" i="13"/>
  <c r="AC59" i="13"/>
  <c r="AD55" i="13"/>
  <c r="AD51" i="13"/>
  <c r="AC51" i="13"/>
  <c r="AE34" i="13"/>
  <c r="AE39" i="13"/>
  <c r="L59" i="13"/>
  <c r="K59" i="13"/>
  <c r="L55" i="13"/>
  <c r="K55" i="13"/>
  <c r="L51" i="13"/>
  <c r="K51" i="13"/>
  <c r="R59" i="13"/>
  <c r="Q59" i="13"/>
  <c r="R55" i="13"/>
  <c r="Q55" i="13"/>
  <c r="R51" i="13"/>
  <c r="Q51" i="13"/>
  <c r="S34" i="13"/>
  <c r="AJ58" i="13"/>
  <c r="AI58" i="13"/>
  <c r="AJ54" i="13"/>
  <c r="AJ50" i="13"/>
  <c r="AI50" i="13"/>
  <c r="X40" i="13"/>
  <c r="W45" i="13"/>
  <c r="G59" i="13"/>
  <c r="G55" i="13"/>
  <c r="G34" i="13"/>
  <c r="E33" i="13"/>
  <c r="G39" i="13"/>
  <c r="Y38" i="13"/>
  <c r="AD58" i="13"/>
  <c r="AC54" i="13"/>
  <c r="AD54" i="13"/>
  <c r="AD50" i="13"/>
  <c r="S37" i="13"/>
  <c r="G44" i="13"/>
  <c r="G40" i="13" s="1"/>
  <c r="L58" i="13"/>
  <c r="R54" i="13"/>
  <c r="R50" i="13"/>
  <c r="AJ57" i="13"/>
  <c r="AI57" i="13"/>
  <c r="AJ53" i="13"/>
  <c r="AJ49" i="13"/>
  <c r="AI49" i="13"/>
  <c r="G58" i="13"/>
  <c r="G54" i="13"/>
  <c r="G50" i="13"/>
  <c r="W50" i="13"/>
  <c r="X47" i="13"/>
  <c r="W49" i="13"/>
  <c r="U29" i="14"/>
  <c r="V29" i="14" s="1"/>
  <c r="C22" i="16"/>
  <c r="D22" i="16" s="1"/>
  <c r="AB55" i="2"/>
  <c r="AD55" i="2" s="1"/>
  <c r="AA55" i="2"/>
  <c r="AC55" i="2" s="1"/>
  <c r="AB59" i="2"/>
  <c r="AD59" i="2" s="1"/>
  <c r="AA59" i="2"/>
  <c r="AC59" i="2" s="1"/>
  <c r="AB57" i="2"/>
  <c r="AD57" i="2" s="1"/>
  <c r="AA57" i="2"/>
  <c r="AC57" i="2" s="1"/>
  <c r="AE53" i="2"/>
  <c r="C52" i="2"/>
  <c r="E52" i="2" s="1"/>
  <c r="D52" i="2"/>
  <c r="F52" i="2" s="1"/>
  <c r="C53" i="2"/>
  <c r="E53" i="2" s="1"/>
  <c r="D53" i="2"/>
  <c r="F53" i="2" s="1"/>
  <c r="C34" i="22"/>
  <c r="C3" i="23"/>
  <c r="C2" i="23" s="1"/>
  <c r="Q2" i="18"/>
  <c r="M2" i="18"/>
  <c r="M3" i="18"/>
  <c r="M4" i="18"/>
  <c r="M5" i="18"/>
  <c r="M6" i="18"/>
  <c r="M7" i="18"/>
  <c r="Q8" i="18"/>
  <c r="M8" i="18"/>
  <c r="M9" i="18"/>
  <c r="M10" i="18"/>
  <c r="M11" i="18"/>
  <c r="M12" i="18"/>
  <c r="M13" i="18"/>
  <c r="Q14" i="18"/>
  <c r="M14" i="18"/>
  <c r="M15" i="18"/>
  <c r="M16" i="18"/>
  <c r="M17" i="18"/>
  <c r="M18" i="18"/>
  <c r="M19" i="18"/>
  <c r="M20" i="18"/>
  <c r="M21" i="18"/>
  <c r="Q3" i="18"/>
  <c r="Q4" i="18"/>
  <c r="Q5" i="18"/>
  <c r="Q6" i="18"/>
  <c r="Q7" i="18"/>
  <c r="Q9" i="18"/>
  <c r="Q10" i="18"/>
  <c r="Q11" i="18"/>
  <c r="Q12" i="18"/>
  <c r="Q13" i="18"/>
  <c r="Q15" i="18"/>
  <c r="Q16" i="18"/>
  <c r="Q17" i="18"/>
  <c r="Q18" i="18"/>
  <c r="Q19" i="18"/>
  <c r="Q20" i="18"/>
  <c r="Q21" i="18"/>
  <c r="L48" i="23"/>
  <c r="L53" i="23" s="1"/>
  <c r="M53" i="23" s="1"/>
  <c r="E48" i="23"/>
  <c r="E50" i="23" s="1"/>
  <c r="F50" i="23" s="1"/>
  <c r="L34" i="23"/>
  <c r="L37" i="23" s="1"/>
  <c r="M37" i="23" s="1"/>
  <c r="E34" i="23"/>
  <c r="E35" i="23" s="1"/>
  <c r="F35" i="23" s="1"/>
  <c r="N48" i="23"/>
  <c r="N54" i="23" s="1"/>
  <c r="O54" i="23" s="1"/>
  <c r="I55" i="23"/>
  <c r="K55" i="23" s="1"/>
  <c r="G48" i="23"/>
  <c r="G53" i="23" s="1"/>
  <c r="H53" i="23" s="1"/>
  <c r="B55" i="23"/>
  <c r="D55" i="23" s="1"/>
  <c r="A55" i="23"/>
  <c r="I54" i="23"/>
  <c r="K54" i="23" s="1"/>
  <c r="B54" i="23"/>
  <c r="D54" i="23" s="1"/>
  <c r="A54" i="23"/>
  <c r="I53" i="23"/>
  <c r="J53" i="23" s="1"/>
  <c r="B53" i="23"/>
  <c r="D53" i="23" s="1"/>
  <c r="A53" i="23"/>
  <c r="I52" i="23"/>
  <c r="K52" i="23" s="1"/>
  <c r="B52" i="23"/>
  <c r="C52" i="23" s="1"/>
  <c r="D52" i="23"/>
  <c r="A52" i="23"/>
  <c r="I51" i="23"/>
  <c r="K51" i="23" s="1"/>
  <c r="B51" i="23"/>
  <c r="D51" i="23" s="1"/>
  <c r="A51" i="23"/>
  <c r="I50" i="23"/>
  <c r="K50" i="23" s="1"/>
  <c r="G50" i="23"/>
  <c r="H50" i="23" s="1"/>
  <c r="B50" i="23"/>
  <c r="D50" i="23" s="1"/>
  <c r="A50" i="23"/>
  <c r="I49" i="23"/>
  <c r="J49" i="23" s="1"/>
  <c r="B49" i="23"/>
  <c r="D49" i="23" s="1"/>
  <c r="A49" i="23"/>
  <c r="K48" i="23"/>
  <c r="J48" i="23"/>
  <c r="H48" i="23"/>
  <c r="D48" i="23"/>
  <c r="C48" i="23"/>
  <c r="A48" i="23"/>
  <c r="A47" i="23"/>
  <c r="I41" i="23"/>
  <c r="I45" i="23" s="1"/>
  <c r="B41" i="23"/>
  <c r="G41" i="23" s="1"/>
  <c r="A46" i="23"/>
  <c r="A45" i="23"/>
  <c r="A44" i="23"/>
  <c r="A43" i="23"/>
  <c r="A42" i="23"/>
  <c r="J41" i="23"/>
  <c r="A41" i="23"/>
  <c r="A40" i="23"/>
  <c r="N34" i="23"/>
  <c r="N37" i="23" s="1"/>
  <c r="O37" i="23" s="1"/>
  <c r="I39" i="23"/>
  <c r="K39" i="23" s="1"/>
  <c r="G34" i="23"/>
  <c r="G39" i="23" s="1"/>
  <c r="H39" i="23" s="1"/>
  <c r="B39" i="23"/>
  <c r="C39" i="23" s="1"/>
  <c r="D39" i="23"/>
  <c r="A39" i="23"/>
  <c r="I38" i="23"/>
  <c r="J38" i="23" s="1"/>
  <c r="B38" i="23"/>
  <c r="C38" i="23" s="1"/>
  <c r="A38" i="23"/>
  <c r="I37" i="23"/>
  <c r="J37" i="23" s="1"/>
  <c r="B37" i="23"/>
  <c r="D37" i="23" s="1"/>
  <c r="A37" i="23"/>
  <c r="L36" i="23"/>
  <c r="M36" i="23" s="1"/>
  <c r="I36" i="23"/>
  <c r="J36" i="23" s="1"/>
  <c r="B36" i="23"/>
  <c r="C36" i="23" s="1"/>
  <c r="A36" i="23"/>
  <c r="I35" i="23"/>
  <c r="J35" i="23" s="1"/>
  <c r="B35" i="23"/>
  <c r="D35" i="23" s="1"/>
  <c r="A35" i="23"/>
  <c r="K34" i="23"/>
  <c r="J34" i="23"/>
  <c r="H34" i="23"/>
  <c r="D34" i="23"/>
  <c r="C34" i="23"/>
  <c r="A34" i="23"/>
  <c r="A33" i="23"/>
  <c r="J18" i="23"/>
  <c r="I18" i="23" s="1"/>
  <c r="C18" i="23"/>
  <c r="B18" i="23" s="1"/>
  <c r="J17" i="23"/>
  <c r="I17" i="23" s="1"/>
  <c r="I16" i="23" s="1"/>
  <c r="C17" i="23"/>
  <c r="C16" i="23" s="1"/>
  <c r="A16" i="23"/>
  <c r="J15" i="23"/>
  <c r="I15" i="23" s="1"/>
  <c r="C15" i="23"/>
  <c r="B15" i="23" s="1"/>
  <c r="A15" i="23"/>
  <c r="J14" i="23"/>
  <c r="I14" i="23" s="1"/>
  <c r="C14" i="23"/>
  <c r="B14" i="23" s="1"/>
  <c r="A14" i="23"/>
  <c r="J13" i="23"/>
  <c r="I13" i="23" s="1"/>
  <c r="C13" i="23"/>
  <c r="B13" i="23" s="1"/>
  <c r="A13" i="23"/>
  <c r="J12" i="23"/>
  <c r="I12" i="23" s="1"/>
  <c r="C12" i="23"/>
  <c r="B12" i="23" s="1"/>
  <c r="A12" i="23"/>
  <c r="J11" i="23"/>
  <c r="I11" i="23" s="1"/>
  <c r="C11" i="23"/>
  <c r="B11" i="23" s="1"/>
  <c r="A11" i="23"/>
  <c r="J10" i="23"/>
  <c r="I10" i="23" s="1"/>
  <c r="I9" i="23" s="1"/>
  <c r="C10" i="23"/>
  <c r="C9" i="23" s="1"/>
  <c r="A10" i="23"/>
  <c r="A9" i="23"/>
  <c r="J8" i="23"/>
  <c r="I8" i="23"/>
  <c r="C8" i="23"/>
  <c r="B8" i="23" s="1"/>
  <c r="A8" i="23"/>
  <c r="J7" i="23"/>
  <c r="I7" i="23" s="1"/>
  <c r="C7" i="23"/>
  <c r="B7" i="23" s="1"/>
  <c r="A7" i="23"/>
  <c r="J6" i="23"/>
  <c r="I6" i="23" s="1"/>
  <c r="C6" i="23"/>
  <c r="B6" i="23" s="1"/>
  <c r="A6" i="23"/>
  <c r="J5" i="23"/>
  <c r="I5" i="23" s="1"/>
  <c r="C5" i="23"/>
  <c r="B5" i="23" s="1"/>
  <c r="A5" i="23"/>
  <c r="J4" i="23"/>
  <c r="I4" i="23" s="1"/>
  <c r="C4" i="23"/>
  <c r="B4" i="23" s="1"/>
  <c r="A4" i="23"/>
  <c r="J3" i="23"/>
  <c r="J2" i="23" s="1"/>
  <c r="A3" i="23"/>
  <c r="A2" i="23"/>
  <c r="K48" i="22"/>
  <c r="J48" i="22"/>
  <c r="K34" i="22"/>
  <c r="J34" i="22"/>
  <c r="D48" i="22"/>
  <c r="D34" i="22"/>
  <c r="C48" i="22"/>
  <c r="N48" i="22"/>
  <c r="O48" i="22" s="1"/>
  <c r="N34" i="22"/>
  <c r="N37" i="22" s="1"/>
  <c r="O37" i="22" s="1"/>
  <c r="L48" i="22"/>
  <c r="L52" i="22" s="1"/>
  <c r="M52" i="22" s="1"/>
  <c r="I55" i="22"/>
  <c r="J55" i="22" s="1"/>
  <c r="I54" i="22"/>
  <c r="J54" i="22" s="1"/>
  <c r="I53" i="22"/>
  <c r="K53" i="22" s="1"/>
  <c r="I52" i="22"/>
  <c r="J52" i="22" s="1"/>
  <c r="I51" i="22"/>
  <c r="K51" i="22" s="1"/>
  <c r="I50" i="22"/>
  <c r="J50" i="22" s="1"/>
  <c r="I49" i="22"/>
  <c r="J49" i="22" s="1"/>
  <c r="I41" i="22"/>
  <c r="I46" i="22" s="1"/>
  <c r="I39" i="22"/>
  <c r="J39" i="22" s="1"/>
  <c r="I38" i="22"/>
  <c r="K38" i="22" s="1"/>
  <c r="I37" i="22"/>
  <c r="J37" i="22" s="1"/>
  <c r="I36" i="22"/>
  <c r="J36" i="22" s="1"/>
  <c r="I35" i="22"/>
  <c r="J35" i="22" s="1"/>
  <c r="G48" i="22"/>
  <c r="G52" i="22" s="1"/>
  <c r="H52" i="22" s="1"/>
  <c r="G34" i="22"/>
  <c r="G38" i="22" s="1"/>
  <c r="H38" i="22" s="1"/>
  <c r="E48" i="22"/>
  <c r="E54" i="22" s="1"/>
  <c r="F54" i="22" s="1"/>
  <c r="B41" i="22"/>
  <c r="C41" i="22" s="1"/>
  <c r="B55" i="22"/>
  <c r="C55" i="22" s="1"/>
  <c r="B54" i="22"/>
  <c r="D54" i="22" s="1"/>
  <c r="B53" i="22"/>
  <c r="C53" i="22" s="1"/>
  <c r="B52" i="22"/>
  <c r="D52" i="22" s="1"/>
  <c r="B51" i="22"/>
  <c r="C51" i="22" s="1"/>
  <c r="B50" i="22"/>
  <c r="D50" i="22" s="1"/>
  <c r="B49" i="22"/>
  <c r="C49" i="22" s="1"/>
  <c r="B39" i="22"/>
  <c r="D39" i="22" s="1"/>
  <c r="B38" i="22"/>
  <c r="D38" i="22" s="1"/>
  <c r="B37" i="22"/>
  <c r="C37" i="22" s="1"/>
  <c r="B36" i="22"/>
  <c r="D36" i="22" s="1"/>
  <c r="B35" i="22"/>
  <c r="D35" i="22" s="1"/>
  <c r="J17" i="22"/>
  <c r="I17" i="22" s="1"/>
  <c r="I16" i="22" s="1"/>
  <c r="J10" i="22"/>
  <c r="I10" i="22" s="1"/>
  <c r="I9" i="22" s="1"/>
  <c r="J3" i="22"/>
  <c r="I3" i="22" s="1"/>
  <c r="I2" i="22" s="1"/>
  <c r="J18" i="22"/>
  <c r="I18" i="22" s="1"/>
  <c r="J11" i="22"/>
  <c r="I11" i="22" s="1"/>
  <c r="J12" i="22"/>
  <c r="I12" i="22" s="1"/>
  <c r="J13" i="22"/>
  <c r="I13" i="22" s="1"/>
  <c r="J14" i="22"/>
  <c r="I14" i="22" s="1"/>
  <c r="J15" i="22"/>
  <c r="I15" i="22" s="1"/>
  <c r="J4" i="22"/>
  <c r="I4" i="22" s="1"/>
  <c r="J5" i="22"/>
  <c r="I5" i="22" s="1"/>
  <c r="J6" i="22"/>
  <c r="I6" i="22" s="1"/>
  <c r="J7" i="22"/>
  <c r="I7" i="22" s="1"/>
  <c r="J8" i="22"/>
  <c r="C18" i="22"/>
  <c r="B18" i="22" s="1"/>
  <c r="C11" i="22"/>
  <c r="B11" i="22" s="1"/>
  <c r="C12" i="22"/>
  <c r="C13" i="22"/>
  <c r="B13" i="22" s="1"/>
  <c r="C14" i="22"/>
  <c r="B14" i="22" s="1"/>
  <c r="C15" i="22"/>
  <c r="B15" i="22" s="1"/>
  <c r="C4" i="22"/>
  <c r="C5" i="22"/>
  <c r="B5" i="22" s="1"/>
  <c r="C6" i="22"/>
  <c r="B6" i="22" s="1"/>
  <c r="C7" i="22"/>
  <c r="B7" i="22" s="1"/>
  <c r="C8" i="22"/>
  <c r="B8" i="22" s="1"/>
  <c r="C10" i="22"/>
  <c r="C9" i="22" s="1"/>
  <c r="C17" i="22"/>
  <c r="B17" i="22" s="1"/>
  <c r="B16" i="22" s="1"/>
  <c r="F16" i="22" s="1"/>
  <c r="C3" i="22"/>
  <c r="B3" i="22" s="1"/>
  <c r="B2" i="22" s="1"/>
  <c r="A55" i="22"/>
  <c r="A54" i="22"/>
  <c r="A53" i="22"/>
  <c r="A52" i="22"/>
  <c r="A51" i="22"/>
  <c r="A50" i="22"/>
  <c r="A49" i="22"/>
  <c r="A48" i="22"/>
  <c r="A47" i="22"/>
  <c r="A46" i="22"/>
  <c r="A45" i="22"/>
  <c r="A44" i="22"/>
  <c r="A43" i="22"/>
  <c r="A42" i="22"/>
  <c r="A41" i="22"/>
  <c r="A40" i="22"/>
  <c r="A39" i="22"/>
  <c r="A38" i="22"/>
  <c r="A37" i="22"/>
  <c r="A36" i="22"/>
  <c r="A35" i="22"/>
  <c r="A34" i="22"/>
  <c r="A33" i="22"/>
  <c r="A16" i="22"/>
  <c r="A15" i="22"/>
  <c r="A14" i="22"/>
  <c r="A13" i="22"/>
  <c r="B12" i="22"/>
  <c r="A12" i="22"/>
  <c r="A11" i="22"/>
  <c r="A10" i="22"/>
  <c r="J9" i="22"/>
  <c r="A9" i="22"/>
  <c r="I8" i="22"/>
  <c r="A8" i="22"/>
  <c r="A7" i="22"/>
  <c r="A6" i="22"/>
  <c r="A5" i="22"/>
  <c r="B4" i="22"/>
  <c r="A4" i="22"/>
  <c r="A3" i="22"/>
  <c r="A2" i="22"/>
  <c r="C3" i="21"/>
  <c r="B3" i="21" s="1"/>
  <c r="B2" i="21" s="1"/>
  <c r="H17" i="21"/>
  <c r="H16" i="21" s="1"/>
  <c r="H10" i="21"/>
  <c r="G10" i="21" s="1"/>
  <c r="G9" i="21" s="1"/>
  <c r="H3" i="21"/>
  <c r="H18" i="21"/>
  <c r="G18" i="21" s="1"/>
  <c r="G17" i="21"/>
  <c r="G16" i="21" s="1"/>
  <c r="H15" i="21"/>
  <c r="G15" i="21" s="1"/>
  <c r="H14" i="21"/>
  <c r="G14" i="21" s="1"/>
  <c r="H13" i="21"/>
  <c r="G13" i="21" s="1"/>
  <c r="H12" i="21"/>
  <c r="G12" i="21"/>
  <c r="H11" i="21"/>
  <c r="G11" i="21" s="1"/>
  <c r="H9" i="21"/>
  <c r="H8" i="21"/>
  <c r="G8" i="21"/>
  <c r="H7" i="21"/>
  <c r="G7" i="21" s="1"/>
  <c r="H6" i="21"/>
  <c r="G6" i="21" s="1"/>
  <c r="H5" i="21"/>
  <c r="G5" i="21" s="1"/>
  <c r="H4" i="21"/>
  <c r="G4" i="21" s="1"/>
  <c r="G3" i="21"/>
  <c r="G2" i="21" s="1"/>
  <c r="H2" i="21"/>
  <c r="C17" i="21"/>
  <c r="C16" i="21" s="1"/>
  <c r="C10" i="21"/>
  <c r="C9" i="21"/>
  <c r="B10" i="21"/>
  <c r="B9" i="21"/>
  <c r="E9" i="21" s="1"/>
  <c r="C11" i="21"/>
  <c r="B11" i="21"/>
  <c r="C12" i="21"/>
  <c r="B12" i="21" s="1"/>
  <c r="C13" i="21"/>
  <c r="B13" i="21" s="1"/>
  <c r="C14" i="21"/>
  <c r="B14" i="21" s="1"/>
  <c r="C15" i="21"/>
  <c r="B15" i="21"/>
  <c r="C18" i="21"/>
  <c r="B18" i="21" s="1"/>
  <c r="C4" i="21"/>
  <c r="B4" i="21" s="1"/>
  <c r="C5" i="21"/>
  <c r="B5" i="21" s="1"/>
  <c r="C6" i="21"/>
  <c r="B6" i="21" s="1"/>
  <c r="C7" i="21"/>
  <c r="B7" i="21"/>
  <c r="C8" i="21"/>
  <c r="B8" i="21" s="1"/>
  <c r="AA18" i="16"/>
  <c r="Z18" i="16"/>
  <c r="AA17" i="16"/>
  <c r="Z17" i="16"/>
  <c r="AA15" i="16"/>
  <c r="Z15" i="16"/>
  <c r="AA14" i="16"/>
  <c r="Z14" i="16"/>
  <c r="AA13" i="16"/>
  <c r="Z13" i="16"/>
  <c r="AA12" i="16"/>
  <c r="Z12" i="16"/>
  <c r="Z9" i="16" s="1"/>
  <c r="AA11" i="16"/>
  <c r="Z11" i="16"/>
  <c r="AA10" i="16"/>
  <c r="Z10" i="16"/>
  <c r="AA8" i="16"/>
  <c r="Z8" i="16"/>
  <c r="AA7" i="16"/>
  <c r="Z7" i="16"/>
  <c r="AA6" i="16"/>
  <c r="Z6" i="16"/>
  <c r="AA5" i="16"/>
  <c r="Z5" i="16"/>
  <c r="Z2" i="16" s="1"/>
  <c r="AA4" i="16"/>
  <c r="Z4" i="16"/>
  <c r="AA3" i="16"/>
  <c r="Z3" i="16"/>
  <c r="Z18" i="3"/>
  <c r="AA18" i="3"/>
  <c r="Z17" i="3"/>
  <c r="AB17" i="3" s="1"/>
  <c r="AA17" i="3"/>
  <c r="Z15" i="3"/>
  <c r="AA15" i="3"/>
  <c r="Z14" i="3"/>
  <c r="AA14" i="3"/>
  <c r="AB14" i="3" s="1"/>
  <c r="T14" i="3" s="1"/>
  <c r="Z13" i="3"/>
  <c r="AA13" i="3"/>
  <c r="Z12" i="3"/>
  <c r="AA12" i="3"/>
  <c r="Z11" i="3"/>
  <c r="AB11" i="3" s="1"/>
  <c r="AA11" i="3"/>
  <c r="Z10" i="3"/>
  <c r="AA10" i="3"/>
  <c r="Z8" i="3"/>
  <c r="AA8" i="3"/>
  <c r="Z7" i="3"/>
  <c r="AA7" i="3"/>
  <c r="Z6" i="3"/>
  <c r="AA6" i="3"/>
  <c r="Z5" i="3"/>
  <c r="AB5" i="3" s="1"/>
  <c r="T5" i="3" s="1"/>
  <c r="AA5" i="3"/>
  <c r="Z4" i="3"/>
  <c r="AA4" i="3"/>
  <c r="Z3" i="3"/>
  <c r="AB3" i="3" s="1"/>
  <c r="AA3" i="3"/>
  <c r="E14" i="10"/>
  <c r="E8" i="10"/>
  <c r="E2" i="10"/>
  <c r="I18" i="16"/>
  <c r="H18" i="16"/>
  <c r="I17" i="16"/>
  <c r="H17" i="16"/>
  <c r="I15" i="16"/>
  <c r="H15" i="16"/>
  <c r="J15" i="16"/>
  <c r="B15" i="16" s="1"/>
  <c r="I14" i="16"/>
  <c r="I9" i="16" s="1"/>
  <c r="H14" i="16"/>
  <c r="I13" i="16"/>
  <c r="H13" i="16"/>
  <c r="I12" i="16"/>
  <c r="H12" i="16"/>
  <c r="I11" i="16"/>
  <c r="H11" i="16"/>
  <c r="I10" i="16"/>
  <c r="H10" i="16"/>
  <c r="J10" i="16" s="1"/>
  <c r="I8" i="16"/>
  <c r="H8" i="16"/>
  <c r="I7" i="16"/>
  <c r="H7" i="16"/>
  <c r="I6" i="16"/>
  <c r="H6" i="16"/>
  <c r="I5" i="16"/>
  <c r="H5" i="16"/>
  <c r="H2" i="16" s="1"/>
  <c r="I4" i="16"/>
  <c r="H4" i="16"/>
  <c r="I3" i="16"/>
  <c r="H3" i="16"/>
  <c r="H18" i="3"/>
  <c r="I18" i="3"/>
  <c r="H17" i="3"/>
  <c r="I17" i="3"/>
  <c r="H15" i="3"/>
  <c r="I15" i="3"/>
  <c r="I9" i="3" s="1"/>
  <c r="H14" i="3"/>
  <c r="J14" i="3" s="1"/>
  <c r="B14" i="3" s="1"/>
  <c r="I14" i="3"/>
  <c r="H13" i="3"/>
  <c r="I13" i="3"/>
  <c r="H12" i="3"/>
  <c r="I12" i="3"/>
  <c r="H11" i="3"/>
  <c r="I11" i="3"/>
  <c r="H10" i="3"/>
  <c r="I10" i="3"/>
  <c r="H8" i="3"/>
  <c r="I8" i="3"/>
  <c r="H7" i="3"/>
  <c r="I7" i="3"/>
  <c r="H6" i="3"/>
  <c r="I6" i="3"/>
  <c r="H5" i="3"/>
  <c r="I5" i="3"/>
  <c r="H4" i="3"/>
  <c r="I4" i="3"/>
  <c r="H3" i="3"/>
  <c r="J3" i="3" s="1"/>
  <c r="I3" i="3"/>
  <c r="D5" i="6"/>
  <c r="E8" i="8"/>
  <c r="H10" i="6"/>
  <c r="D10" i="6" s="1"/>
  <c r="D9" i="6" s="1"/>
  <c r="G14" i="8"/>
  <c r="A16" i="21"/>
  <c r="A15" i="21"/>
  <c r="A14" i="21"/>
  <c r="A13" i="21"/>
  <c r="A12" i="21"/>
  <c r="A11" i="21"/>
  <c r="G8" i="8"/>
  <c r="A10" i="21"/>
  <c r="A9" i="21"/>
  <c r="A8" i="21"/>
  <c r="A7" i="21"/>
  <c r="A6" i="21"/>
  <c r="A5" i="21"/>
  <c r="A4" i="21"/>
  <c r="A3" i="21"/>
  <c r="A2" i="21"/>
  <c r="G2" i="8"/>
  <c r="G2" i="10"/>
  <c r="E14" i="8"/>
  <c r="G14" i="10"/>
  <c r="G8" i="10"/>
  <c r="C41" i="2"/>
  <c r="E41" i="2" s="1"/>
  <c r="E2" i="8"/>
  <c r="E26" i="1"/>
  <c r="Q2" i="17"/>
  <c r="M2" i="17"/>
  <c r="L34" i="22" s="1"/>
  <c r="AA18" i="14"/>
  <c r="I18" i="14"/>
  <c r="AA17" i="14"/>
  <c r="I17" i="14"/>
  <c r="AA15" i="14"/>
  <c r="I15" i="14"/>
  <c r="AA14" i="14"/>
  <c r="I14" i="14"/>
  <c r="AA13" i="14"/>
  <c r="I13" i="14"/>
  <c r="AA12" i="14"/>
  <c r="Z12" i="14"/>
  <c r="I12" i="14"/>
  <c r="AA11" i="14"/>
  <c r="I11" i="14"/>
  <c r="AA10" i="14"/>
  <c r="I10" i="14"/>
  <c r="AA8" i="14"/>
  <c r="I8" i="14"/>
  <c r="AA7" i="14"/>
  <c r="I7" i="14"/>
  <c r="AA6" i="14"/>
  <c r="I6" i="14"/>
  <c r="AA5" i="14"/>
  <c r="I5" i="14"/>
  <c r="AA4" i="14"/>
  <c r="I4" i="14"/>
  <c r="AA3" i="14"/>
  <c r="I3" i="14"/>
  <c r="Z18" i="14"/>
  <c r="Z17" i="14"/>
  <c r="Z15" i="14"/>
  <c r="AB15" i="14" s="1"/>
  <c r="T15" i="14" s="1"/>
  <c r="Z14" i="14"/>
  <c r="Z13" i="14"/>
  <c r="Z11" i="14"/>
  <c r="Z10" i="14"/>
  <c r="Z8" i="14"/>
  <c r="Z7" i="14"/>
  <c r="Z6" i="14"/>
  <c r="Z5" i="14"/>
  <c r="Z4" i="14"/>
  <c r="Z3" i="14"/>
  <c r="A16" i="16"/>
  <c r="A15" i="16"/>
  <c r="A14" i="16"/>
  <c r="A13" i="16"/>
  <c r="A12" i="16"/>
  <c r="A11" i="16"/>
  <c r="A10" i="16"/>
  <c r="A9" i="16"/>
  <c r="A8" i="16"/>
  <c r="A7" i="16"/>
  <c r="A6" i="16"/>
  <c r="A5" i="16"/>
  <c r="A4" i="16"/>
  <c r="A3" i="16"/>
  <c r="A2" i="16"/>
  <c r="A16" i="14"/>
  <c r="A15" i="14"/>
  <c r="A14" i="14"/>
  <c r="A13" i="14"/>
  <c r="A12" i="14"/>
  <c r="A11" i="14"/>
  <c r="A10" i="14"/>
  <c r="A9" i="14"/>
  <c r="A8" i="14"/>
  <c r="A7" i="14"/>
  <c r="A6" i="14"/>
  <c r="A5" i="14"/>
  <c r="A4" i="14"/>
  <c r="A3" i="14"/>
  <c r="A2" i="14"/>
  <c r="V48" i="6"/>
  <c r="X48" i="6" s="1"/>
  <c r="U48" i="6"/>
  <c r="W48" i="6"/>
  <c r="AA17" i="6"/>
  <c r="AA16" i="6" s="1"/>
  <c r="Z17" i="6"/>
  <c r="Z16" i="6" s="1"/>
  <c r="AA15" i="6"/>
  <c r="Z15" i="6"/>
  <c r="V15" i="6" s="1"/>
  <c r="AA14" i="6"/>
  <c r="Z14" i="6"/>
  <c r="AA13" i="6"/>
  <c r="Z13" i="6"/>
  <c r="AA12" i="6"/>
  <c r="Z12" i="6"/>
  <c r="V12" i="6" s="1"/>
  <c r="AA11" i="6"/>
  <c r="Z11" i="6"/>
  <c r="V11" i="6" s="1"/>
  <c r="AA10" i="6"/>
  <c r="Z10" i="6"/>
  <c r="AA8" i="6"/>
  <c r="Z8" i="6"/>
  <c r="V8" i="6" s="1"/>
  <c r="AA7" i="6"/>
  <c r="Z7" i="6"/>
  <c r="V7" i="6" s="1"/>
  <c r="AA6" i="6"/>
  <c r="Z6" i="6"/>
  <c r="AA5" i="6"/>
  <c r="Z5" i="6"/>
  <c r="Z2" i="6" s="1"/>
  <c r="AA4" i="6"/>
  <c r="Z4" i="6"/>
  <c r="AA3" i="6"/>
  <c r="Z3" i="6"/>
  <c r="V3" i="6" s="1"/>
  <c r="V2" i="6" s="1"/>
  <c r="I17" i="6"/>
  <c r="I16" i="6" s="1"/>
  <c r="I15" i="6"/>
  <c r="I14" i="6"/>
  <c r="I13" i="6"/>
  <c r="I12" i="6"/>
  <c r="I11" i="6"/>
  <c r="I10" i="6"/>
  <c r="I8" i="6"/>
  <c r="I7" i="6"/>
  <c r="I6" i="6"/>
  <c r="I4" i="6"/>
  <c r="I3" i="6"/>
  <c r="B49" i="6"/>
  <c r="D49" i="6" s="1"/>
  <c r="F49" i="6" s="1"/>
  <c r="D48" i="6"/>
  <c r="F48" i="6" s="1"/>
  <c r="T49" i="6"/>
  <c r="U49" i="6" s="1"/>
  <c r="W49" i="6" s="1"/>
  <c r="T43" i="6"/>
  <c r="V43" i="6" s="1"/>
  <c r="X43" i="6" s="1"/>
  <c r="B46" i="6"/>
  <c r="C46" i="6" s="1"/>
  <c r="E46" i="6" s="1"/>
  <c r="AF37" i="6"/>
  <c r="B39" i="6"/>
  <c r="D39" i="6" s="1"/>
  <c r="F39" i="6" s="1"/>
  <c r="A16" i="6"/>
  <c r="A15" i="6"/>
  <c r="A14" i="6"/>
  <c r="A13" i="6"/>
  <c r="A12" i="6"/>
  <c r="A11" i="6"/>
  <c r="A10" i="6"/>
  <c r="A9" i="6"/>
  <c r="A8" i="6"/>
  <c r="A7" i="6"/>
  <c r="A6" i="6"/>
  <c r="A5" i="6"/>
  <c r="A4" i="6"/>
  <c r="A3" i="6"/>
  <c r="A2" i="6"/>
  <c r="U41" i="6"/>
  <c r="W41" i="6" s="1"/>
  <c r="V41" i="6"/>
  <c r="X41" i="6" s="1"/>
  <c r="B42" i="6"/>
  <c r="D42" i="6"/>
  <c r="F42" i="6" s="1"/>
  <c r="D34" i="6"/>
  <c r="F34" i="6" s="1"/>
  <c r="T42" i="6"/>
  <c r="V42" i="6" s="1"/>
  <c r="X42" i="6" s="1"/>
  <c r="T36" i="6"/>
  <c r="V36" i="6" s="1"/>
  <c r="X36" i="6" s="1"/>
  <c r="B43" i="6"/>
  <c r="D43" i="6" s="1"/>
  <c r="F43" i="6" s="1"/>
  <c r="B37" i="6"/>
  <c r="D37" i="6" s="1"/>
  <c r="F37" i="6" s="1"/>
  <c r="B36" i="6"/>
  <c r="D36" i="6" s="1"/>
  <c r="F36" i="6" s="1"/>
  <c r="V34" i="6"/>
  <c r="X34" i="6"/>
  <c r="T37" i="6"/>
  <c r="U34" i="6"/>
  <c r="W34" i="6" s="1"/>
  <c r="D41" i="6"/>
  <c r="F41" i="6" s="1"/>
  <c r="Z2" i="14"/>
  <c r="AF39" i="6"/>
  <c r="AH39" i="6" s="1"/>
  <c r="AJ39" i="6" s="1"/>
  <c r="AF35" i="6"/>
  <c r="AH35" i="6" s="1"/>
  <c r="AJ35" i="6" s="1"/>
  <c r="T35" i="6"/>
  <c r="U35" i="6" s="1"/>
  <c r="W35" i="6" s="1"/>
  <c r="AF42" i="6"/>
  <c r="AG42" i="6" s="1"/>
  <c r="AI42" i="6" s="1"/>
  <c r="T38" i="6"/>
  <c r="U38" i="6" s="1"/>
  <c r="W38" i="6" s="1"/>
  <c r="T44" i="6"/>
  <c r="V44" i="6" s="1"/>
  <c r="X44" i="6" s="1"/>
  <c r="T39" i="6"/>
  <c r="V39" i="6" s="1"/>
  <c r="X39" i="6" s="1"/>
  <c r="T45" i="6"/>
  <c r="U45" i="6" s="1"/>
  <c r="W45" i="6" s="1"/>
  <c r="P34" i="6"/>
  <c r="R34" i="6" s="1"/>
  <c r="T46" i="6"/>
  <c r="V46" i="6" s="1"/>
  <c r="X46" i="6" s="1"/>
  <c r="B35" i="6"/>
  <c r="P41" i="6"/>
  <c r="R41" i="6" s="1"/>
  <c r="B38" i="6"/>
  <c r="D38" i="6" s="1"/>
  <c r="F38" i="6" s="1"/>
  <c r="B44" i="6"/>
  <c r="C44" i="6" s="1"/>
  <c r="E44" i="6" s="1"/>
  <c r="B45" i="6"/>
  <c r="D45" i="6" s="1"/>
  <c r="F45" i="6" s="1"/>
  <c r="A16" i="3"/>
  <c r="A15" i="3"/>
  <c r="A14" i="3"/>
  <c r="A13" i="3"/>
  <c r="A12" i="3"/>
  <c r="A11" i="3"/>
  <c r="A10" i="3"/>
  <c r="A9" i="3"/>
  <c r="A8" i="3"/>
  <c r="A7" i="3"/>
  <c r="A6" i="3"/>
  <c r="Z2" i="3"/>
  <c r="A5" i="3"/>
  <c r="A4" i="3"/>
  <c r="A3" i="3"/>
  <c r="A2" i="3"/>
  <c r="Z18" i="13"/>
  <c r="Z17" i="13"/>
  <c r="Z15" i="13"/>
  <c r="AB15" i="13" s="1"/>
  <c r="AA15" i="13"/>
  <c r="Z14" i="13"/>
  <c r="Z13" i="13"/>
  <c r="AB13" i="13" s="1"/>
  <c r="U13" i="13" s="1"/>
  <c r="V13" i="13" s="1"/>
  <c r="Z12" i="13"/>
  <c r="Z11" i="13"/>
  <c r="Z10" i="13"/>
  <c r="Z8" i="13"/>
  <c r="Z7" i="13"/>
  <c r="Z6" i="13"/>
  <c r="Z5" i="13"/>
  <c r="Z4" i="13"/>
  <c r="Z3" i="13"/>
  <c r="AA18" i="13"/>
  <c r="AA17" i="13"/>
  <c r="AA14" i="13"/>
  <c r="AB14" i="13" s="1"/>
  <c r="T14" i="13" s="1"/>
  <c r="AA13" i="13"/>
  <c r="AA12" i="13"/>
  <c r="AA11" i="13"/>
  <c r="AA10" i="13"/>
  <c r="AA8" i="13"/>
  <c r="AA7" i="13"/>
  <c r="AA6" i="13"/>
  <c r="AA5" i="13"/>
  <c r="AA4" i="13"/>
  <c r="AB4" i="13" s="1"/>
  <c r="AA3" i="13"/>
  <c r="A16" i="13"/>
  <c r="A15" i="13"/>
  <c r="A14" i="13"/>
  <c r="A13" i="13"/>
  <c r="A12" i="13"/>
  <c r="A11" i="13"/>
  <c r="A10" i="13"/>
  <c r="A9" i="13"/>
  <c r="A8" i="13"/>
  <c r="A7" i="13"/>
  <c r="A6" i="13"/>
  <c r="A5" i="13"/>
  <c r="A4" i="13"/>
  <c r="A3" i="13"/>
  <c r="A2" i="13"/>
  <c r="T49" i="2"/>
  <c r="V49" i="2" s="1"/>
  <c r="X49" i="2" s="1"/>
  <c r="V48" i="2"/>
  <c r="X48" i="2" s="1"/>
  <c r="U48" i="2"/>
  <c r="W48" i="2" s="1"/>
  <c r="P49" i="2"/>
  <c r="R49" i="2" s="1"/>
  <c r="AG41" i="2"/>
  <c r="T35" i="2"/>
  <c r="V35" i="2" s="1"/>
  <c r="X35" i="2" s="1"/>
  <c r="B49" i="2"/>
  <c r="AB3" i="13"/>
  <c r="U3" i="13" s="1"/>
  <c r="U42" i="6"/>
  <c r="W42" i="6" s="1"/>
  <c r="T37" i="2"/>
  <c r="U37" i="2" s="1"/>
  <c r="W37" i="2" s="1"/>
  <c r="T44" i="2"/>
  <c r="V44" i="2" s="1"/>
  <c r="X44" i="2" s="1"/>
  <c r="V34" i="2"/>
  <c r="X34" i="2" s="1"/>
  <c r="U34" i="2"/>
  <c r="W34" i="2" s="1"/>
  <c r="U41" i="2"/>
  <c r="W41" i="2"/>
  <c r="T36" i="2"/>
  <c r="V36" i="2" s="1"/>
  <c r="X36" i="2" s="1"/>
  <c r="T38" i="2"/>
  <c r="U38" i="2" s="1"/>
  <c r="W38" i="2" s="1"/>
  <c r="V45" i="6"/>
  <c r="X45" i="6" s="1"/>
  <c r="T39" i="2"/>
  <c r="D35" i="6"/>
  <c r="F35" i="6" s="1"/>
  <c r="V41" i="2"/>
  <c r="X41" i="2"/>
  <c r="AG34" i="2"/>
  <c r="AI34" i="2" s="1"/>
  <c r="T42" i="2"/>
  <c r="T43" i="2"/>
  <c r="V43" i="2" s="1"/>
  <c r="X43" i="2" s="1"/>
  <c r="V37" i="6"/>
  <c r="X37" i="6" s="1"/>
  <c r="U37" i="6"/>
  <c r="W37" i="6" s="1"/>
  <c r="T45" i="2"/>
  <c r="T46" i="2"/>
  <c r="V46" i="2" s="1"/>
  <c r="X46" i="2" s="1"/>
  <c r="V35" i="6"/>
  <c r="X35" i="6" s="1"/>
  <c r="AF46" i="6"/>
  <c r="AG46" i="6" s="1"/>
  <c r="AI46" i="6" s="1"/>
  <c r="AF43" i="6"/>
  <c r="AG43" i="6" s="1"/>
  <c r="AI43" i="6" s="1"/>
  <c r="N46" i="6"/>
  <c r="P46" i="6" s="1"/>
  <c r="R46" i="6" s="1"/>
  <c r="N45" i="6"/>
  <c r="P45" i="6" s="1"/>
  <c r="R45" i="6" s="1"/>
  <c r="N44" i="6"/>
  <c r="O44" i="6" s="1"/>
  <c r="Q44" i="6" s="1"/>
  <c r="N43" i="6"/>
  <c r="O43" i="6" s="1"/>
  <c r="Q43" i="6" s="1"/>
  <c r="N42" i="6"/>
  <c r="O42" i="6" s="1"/>
  <c r="Q42" i="6" s="1"/>
  <c r="AB5" i="13"/>
  <c r="T5" i="13" s="1"/>
  <c r="Z2" i="13"/>
  <c r="AA17" i="2"/>
  <c r="AA16" i="2" s="1"/>
  <c r="AA15" i="2"/>
  <c r="Z15" i="2"/>
  <c r="V15" i="2" s="1"/>
  <c r="AA14" i="2"/>
  <c r="Z14" i="2"/>
  <c r="V14" i="2" s="1"/>
  <c r="AA13" i="2"/>
  <c r="Z13" i="2"/>
  <c r="V13" i="2" s="1"/>
  <c r="AA12" i="2"/>
  <c r="Z12" i="2"/>
  <c r="V12" i="2" s="1"/>
  <c r="AA11" i="2"/>
  <c r="Z11" i="2"/>
  <c r="V11" i="2" s="1"/>
  <c r="AA10" i="2"/>
  <c r="Z10" i="2"/>
  <c r="V10" i="2" s="1"/>
  <c r="V9" i="2" s="1"/>
  <c r="AA8" i="2"/>
  <c r="Z8" i="2"/>
  <c r="AA7" i="2"/>
  <c r="Z7" i="2"/>
  <c r="V7" i="2" s="1"/>
  <c r="AA6" i="2"/>
  <c r="Z6" i="2"/>
  <c r="V6" i="2" s="1"/>
  <c r="AA5" i="2"/>
  <c r="Z5" i="2"/>
  <c r="Z2" i="2" s="1"/>
  <c r="AA4" i="2"/>
  <c r="Z4" i="2"/>
  <c r="AA3" i="2"/>
  <c r="Z3" i="2"/>
  <c r="V3" i="2" s="1"/>
  <c r="V2" i="2" s="1"/>
  <c r="V42" i="2"/>
  <c r="X42" i="2" s="1"/>
  <c r="U42" i="2"/>
  <c r="W42" i="2" s="1"/>
  <c r="AF37" i="2"/>
  <c r="AG37" i="2" s="1"/>
  <c r="AI37" i="2" s="1"/>
  <c r="V39" i="2"/>
  <c r="X39" i="2" s="1"/>
  <c r="U39" i="2"/>
  <c r="W39" i="2" s="1"/>
  <c r="V45" i="2"/>
  <c r="X45" i="2" s="1"/>
  <c r="U45" i="2"/>
  <c r="W45" i="2" s="1"/>
  <c r="B35" i="2"/>
  <c r="C35" i="2" s="1"/>
  <c r="E35" i="2" s="1"/>
  <c r="B39" i="2"/>
  <c r="C39" i="2" s="1"/>
  <c r="E39" i="2" s="1"/>
  <c r="B38" i="2"/>
  <c r="C38" i="2" s="1"/>
  <c r="E38" i="2" s="1"/>
  <c r="B36" i="2"/>
  <c r="D36" i="2" s="1"/>
  <c r="F36" i="2" s="1"/>
  <c r="B37" i="2"/>
  <c r="D37" i="2" s="1"/>
  <c r="F37" i="2" s="1"/>
  <c r="N38" i="2"/>
  <c r="N37" i="2"/>
  <c r="P37" i="2" s="1"/>
  <c r="R37" i="2" s="1"/>
  <c r="A47" i="2"/>
  <c r="A46" i="2"/>
  <c r="A45" i="2"/>
  <c r="A44" i="2"/>
  <c r="A43" i="2"/>
  <c r="A42" i="2"/>
  <c r="A41" i="2"/>
  <c r="A40" i="2"/>
  <c r="A39" i="2"/>
  <c r="A38" i="2"/>
  <c r="A37" i="2"/>
  <c r="A36" i="2"/>
  <c r="A35" i="2"/>
  <c r="A34" i="2"/>
  <c r="A33" i="2"/>
  <c r="A16" i="2"/>
  <c r="A15" i="2"/>
  <c r="A14" i="2"/>
  <c r="A13" i="2"/>
  <c r="A12" i="2"/>
  <c r="A11" i="2"/>
  <c r="A10" i="2"/>
  <c r="A9" i="2"/>
  <c r="A8" i="2"/>
  <c r="A7" i="2"/>
  <c r="A6" i="2"/>
  <c r="A5" i="2"/>
  <c r="A4" i="2"/>
  <c r="A3" i="2"/>
  <c r="A2" i="2"/>
  <c r="E9" i="1"/>
  <c r="E18" i="1"/>
  <c r="I18" i="13"/>
  <c r="I4" i="13"/>
  <c r="I17" i="13"/>
  <c r="I3" i="13"/>
  <c r="I15" i="13"/>
  <c r="I11" i="13"/>
  <c r="I6" i="13"/>
  <c r="I14" i="13"/>
  <c r="I13" i="13"/>
  <c r="I12" i="13"/>
  <c r="I7" i="13"/>
  <c r="I10" i="13"/>
  <c r="I8" i="13"/>
  <c r="I5" i="13"/>
  <c r="E20" i="1"/>
  <c r="H14" i="13"/>
  <c r="H7" i="13"/>
  <c r="H6" i="13"/>
  <c r="J6" i="13" s="1"/>
  <c r="H13" i="13"/>
  <c r="H12" i="13"/>
  <c r="J12" i="13" s="1"/>
  <c r="B12" i="13" s="1"/>
  <c r="H5" i="13"/>
  <c r="H18" i="13"/>
  <c r="H11" i="13"/>
  <c r="H4" i="13"/>
  <c r="J4" i="13" s="1"/>
  <c r="H17" i="13"/>
  <c r="H10" i="13"/>
  <c r="J10" i="13" s="1"/>
  <c r="H3" i="13"/>
  <c r="H15" i="13"/>
  <c r="H8" i="13"/>
  <c r="J8" i="13" s="1"/>
  <c r="E21" i="1"/>
  <c r="E19" i="1"/>
  <c r="E5" i="1"/>
  <c r="E6" i="1"/>
  <c r="B6" i="1"/>
  <c r="H2" i="13"/>
  <c r="H15" i="14"/>
  <c r="H13" i="14"/>
  <c r="H12" i="14"/>
  <c r="H11" i="14"/>
  <c r="J11" i="14" s="1"/>
  <c r="B11" i="14" s="1"/>
  <c r="H14" i="14"/>
  <c r="H10" i="14"/>
  <c r="H9" i="14" s="1"/>
  <c r="H8" i="14"/>
  <c r="H7" i="14"/>
  <c r="J7" i="14" s="1"/>
  <c r="B7" i="14" s="1"/>
  <c r="H6" i="14"/>
  <c r="H5" i="14"/>
  <c r="H18" i="14"/>
  <c r="J18" i="14" s="1"/>
  <c r="B18" i="14" s="1"/>
  <c r="H4" i="14"/>
  <c r="J4" i="14" s="1"/>
  <c r="B4" i="14" s="1"/>
  <c r="H17" i="14"/>
  <c r="J17" i="14" s="1"/>
  <c r="C17" i="14" s="1"/>
  <c r="H3" i="14"/>
  <c r="J3" i="14" s="1"/>
  <c r="B3" i="14" s="1"/>
  <c r="H2" i="3"/>
  <c r="Q7" i="17"/>
  <c r="Q10" i="17"/>
  <c r="Q6" i="17"/>
  <c r="Q9" i="17"/>
  <c r="Q13" i="17"/>
  <c r="Q11" i="17"/>
  <c r="M11" i="17" s="1"/>
  <c r="Q8" i="17"/>
  <c r="Q5" i="17"/>
  <c r="M5" i="17" s="1"/>
  <c r="Q3" i="17"/>
  <c r="M3" i="17" s="1"/>
  <c r="Q12" i="17"/>
  <c r="M12" i="17" s="1"/>
  <c r="Q4" i="17"/>
  <c r="H2" i="14"/>
  <c r="M8" i="17"/>
  <c r="M13" i="17"/>
  <c r="M9" i="17"/>
  <c r="M4" i="17"/>
  <c r="M10" i="17"/>
  <c r="M6" i="17"/>
  <c r="M7" i="17"/>
  <c r="B26" i="1"/>
  <c r="Q10" i="5"/>
  <c r="M10" i="5" s="1"/>
  <c r="Q11" i="5"/>
  <c r="M11" i="5" s="1"/>
  <c r="Q12" i="5"/>
  <c r="M12" i="5" s="1"/>
  <c r="Q13" i="5"/>
  <c r="M13" i="5" s="1"/>
  <c r="Q8" i="5"/>
  <c r="M8" i="5" s="1"/>
  <c r="Q23" i="5"/>
  <c r="M23" i="5" s="1"/>
  <c r="Q2" i="5"/>
  <c r="M2" i="5" s="1"/>
  <c r="Q14" i="5"/>
  <c r="M14" i="5" s="1"/>
  <c r="Q3" i="5"/>
  <c r="M3" i="5" s="1"/>
  <c r="Q15" i="5"/>
  <c r="M15" i="5" s="1"/>
  <c r="Q22" i="5"/>
  <c r="M22" i="5" s="1"/>
  <c r="Q7" i="5"/>
  <c r="M7" i="5" s="1"/>
  <c r="Q4" i="5"/>
  <c r="M4" i="5" s="1"/>
  <c r="Q17" i="5"/>
  <c r="M17" i="5"/>
  <c r="Q5" i="5"/>
  <c r="M5" i="5" s="1"/>
  <c r="Q20" i="5"/>
  <c r="M20" i="5" s="1"/>
  <c r="Q6" i="5"/>
  <c r="M6" i="5" s="1"/>
  <c r="Q24" i="5"/>
  <c r="M24" i="5" s="1"/>
  <c r="Q9" i="5"/>
  <c r="M9" i="5"/>
  <c r="Q26" i="5"/>
  <c r="M26" i="5"/>
  <c r="B18" i="1"/>
  <c r="B9" i="1"/>
  <c r="B21" i="1"/>
  <c r="B20" i="1"/>
  <c r="B19" i="1"/>
  <c r="I6" i="2"/>
  <c r="I12" i="2"/>
  <c r="I3" i="2"/>
  <c r="I13" i="2"/>
  <c r="I8" i="2"/>
  <c r="I4" i="2"/>
  <c r="I17" i="2"/>
  <c r="I15" i="2"/>
  <c r="I5" i="2"/>
  <c r="I7" i="2"/>
  <c r="I11" i="2"/>
  <c r="I14" i="2"/>
  <c r="I10" i="2"/>
  <c r="D34" i="2"/>
  <c r="F34" i="2" s="1"/>
  <c r="D48" i="2"/>
  <c r="F48" i="2" s="1"/>
  <c r="P34" i="2"/>
  <c r="R34" i="2" s="1"/>
  <c r="H15" i="2"/>
  <c r="D15" i="2" s="1"/>
  <c r="H12" i="2"/>
  <c r="D12" i="2" s="1"/>
  <c r="H8" i="2"/>
  <c r="D8" i="2" s="1"/>
  <c r="H5" i="2"/>
  <c r="D5" i="2" s="1"/>
  <c r="H14" i="2"/>
  <c r="H11" i="2"/>
  <c r="D11" i="2" s="1"/>
  <c r="H7" i="2"/>
  <c r="D7" i="2" s="1"/>
  <c r="H4" i="2"/>
  <c r="D4" i="2" s="1"/>
  <c r="H13" i="2"/>
  <c r="D13" i="2" s="1"/>
  <c r="H10" i="2"/>
  <c r="D10" i="2" s="1"/>
  <c r="D9" i="2" s="1"/>
  <c r="H6" i="2"/>
  <c r="D6" i="2" s="1"/>
  <c r="H3" i="2"/>
  <c r="H17" i="2"/>
  <c r="H16" i="2" s="1"/>
  <c r="C34" i="2"/>
  <c r="E34" i="2" s="1"/>
  <c r="C48" i="2"/>
  <c r="E48" i="2" s="1"/>
  <c r="O34" i="2"/>
  <c r="Q34" i="2" s="1"/>
  <c r="O37" i="2"/>
  <c r="Q37" i="2" s="1"/>
  <c r="B5" i="1"/>
  <c r="C36" i="6"/>
  <c r="E36" i="6" s="1"/>
  <c r="H11" i="6"/>
  <c r="D11" i="6" s="1"/>
  <c r="C41" i="6"/>
  <c r="E41" i="6"/>
  <c r="H3" i="6"/>
  <c r="D3" i="6" s="1"/>
  <c r="D2" i="6" s="1"/>
  <c r="H17" i="6"/>
  <c r="H8" i="6"/>
  <c r="D8" i="6" s="1"/>
  <c r="H7" i="6"/>
  <c r="H6" i="6"/>
  <c r="D6" i="6" s="1"/>
  <c r="H12" i="6"/>
  <c r="D12" i="6" s="1"/>
  <c r="C34" i="6"/>
  <c r="E34" i="6" s="1"/>
  <c r="H15" i="6"/>
  <c r="C48" i="6"/>
  <c r="E48" i="6" s="1"/>
  <c r="H14" i="6"/>
  <c r="H4" i="6"/>
  <c r="D4" i="6" s="1"/>
  <c r="H13" i="6"/>
  <c r="D13" i="6" s="1"/>
  <c r="C38" i="6"/>
  <c r="E38" i="6" s="1"/>
  <c r="G38" i="6" s="1"/>
  <c r="C35" i="6"/>
  <c r="E35" i="6" s="1"/>
  <c r="C43" i="6"/>
  <c r="E43" i="6" s="1"/>
  <c r="O41" i="6"/>
  <c r="Q41" i="6" s="1"/>
  <c r="S41" i="6" s="1"/>
  <c r="C42" i="6"/>
  <c r="E42" i="6" s="1"/>
  <c r="J5" i="6"/>
  <c r="B5" i="6" s="1"/>
  <c r="H2" i="6"/>
  <c r="AK33" i="14" l="1"/>
  <c r="Y52" i="14"/>
  <c r="Y54" i="14"/>
  <c r="AK53" i="14"/>
  <c r="AE51" i="14"/>
  <c r="AK54" i="14"/>
  <c r="X40" i="14"/>
  <c r="Y45" i="14"/>
  <c r="Y35" i="16"/>
  <c r="AK44" i="16"/>
  <c r="Y60" i="16"/>
  <c r="AK45" i="16"/>
  <c r="AK52" i="16"/>
  <c r="AK37" i="16"/>
  <c r="AI33" i="13"/>
  <c r="Y51" i="14"/>
  <c r="AE37" i="14"/>
  <c r="Y53" i="14"/>
  <c r="M33" i="14"/>
  <c r="Y45" i="16"/>
  <c r="Q33" i="16"/>
  <c r="K33" i="16"/>
  <c r="AD47" i="16"/>
  <c r="G59" i="16"/>
  <c r="Y50" i="16"/>
  <c r="Y59" i="16"/>
  <c r="W57" i="3"/>
  <c r="Y57" i="3" s="1"/>
  <c r="W53" i="3"/>
  <c r="Y53" i="3" s="1"/>
  <c r="AI40" i="3"/>
  <c r="W60" i="3"/>
  <c r="Y60" i="3" s="1"/>
  <c r="W55" i="3"/>
  <c r="Y55" i="3" s="1"/>
  <c r="W45" i="3"/>
  <c r="Y45" i="3" s="1"/>
  <c r="W53" i="13"/>
  <c r="Y53" i="13" s="1"/>
  <c r="W52" i="13"/>
  <c r="W56" i="13"/>
  <c r="Y56" i="13" s="1"/>
  <c r="W58" i="13"/>
  <c r="Y58" i="13" s="1"/>
  <c r="AK35" i="13"/>
  <c r="G51" i="14"/>
  <c r="G38" i="14"/>
  <c r="G60" i="14"/>
  <c r="G40" i="14"/>
  <c r="S51" i="16"/>
  <c r="M37" i="16"/>
  <c r="G42" i="16"/>
  <c r="S58" i="16"/>
  <c r="F40" i="16"/>
  <c r="G54" i="16"/>
  <c r="S52" i="16"/>
  <c r="S39" i="14"/>
  <c r="S50" i="14"/>
  <c r="AK38" i="13"/>
  <c r="AE59" i="14"/>
  <c r="G53" i="14"/>
  <c r="G56" i="14"/>
  <c r="M59" i="14"/>
  <c r="AE58" i="14"/>
  <c r="AE52" i="14"/>
  <c r="L40" i="14"/>
  <c r="G55" i="14"/>
  <c r="Y43" i="14"/>
  <c r="G37" i="14"/>
  <c r="G54" i="14"/>
  <c r="M57" i="14"/>
  <c r="AE50" i="14"/>
  <c r="M50" i="14"/>
  <c r="AK55" i="14"/>
  <c r="AJ47" i="16"/>
  <c r="AK58" i="16"/>
  <c r="M59" i="16"/>
  <c r="AK55" i="16"/>
  <c r="AE54" i="16"/>
  <c r="Y55" i="16"/>
  <c r="G55" i="16"/>
  <c r="G60" i="16"/>
  <c r="R40" i="16"/>
  <c r="G53" i="16"/>
  <c r="AK50" i="16"/>
  <c r="X40" i="16"/>
  <c r="X33" i="16"/>
  <c r="AK54" i="16"/>
  <c r="S56" i="16"/>
  <c r="AK51" i="16"/>
  <c r="AJ33" i="16"/>
  <c r="M49" i="16"/>
  <c r="S40" i="13"/>
  <c r="K33" i="13"/>
  <c r="AI53" i="13"/>
  <c r="AK53" i="13" s="1"/>
  <c r="AI51" i="13"/>
  <c r="AK51" i="13" s="1"/>
  <c r="Q58" i="13"/>
  <c r="S58" i="13" s="1"/>
  <c r="Q38" i="13"/>
  <c r="S38" i="13" s="1"/>
  <c r="AI55" i="13"/>
  <c r="AK55" i="13" s="1"/>
  <c r="R35" i="13"/>
  <c r="S35" i="13" s="1"/>
  <c r="Q50" i="13"/>
  <c r="Q52" i="13"/>
  <c r="S52" i="13" s="1"/>
  <c r="Q53" i="13"/>
  <c r="S53" i="13" s="1"/>
  <c r="Q54" i="13"/>
  <c r="S54" i="13" s="1"/>
  <c r="S56" i="13"/>
  <c r="Q56" i="13"/>
  <c r="Q57" i="13"/>
  <c r="S57" i="13" s="1"/>
  <c r="AI45" i="13"/>
  <c r="AI40" i="13" s="1"/>
  <c r="AI56" i="13"/>
  <c r="AK56" i="13" s="1"/>
  <c r="AI52" i="13"/>
  <c r="AK52" i="13" s="1"/>
  <c r="AI54" i="13"/>
  <c r="AK54" i="13" s="1"/>
  <c r="AJ45" i="13"/>
  <c r="AJ40" i="13" s="1"/>
  <c r="AI59" i="3"/>
  <c r="AK59" i="3" s="1"/>
  <c r="Q57" i="3"/>
  <c r="S57" i="3" s="1"/>
  <c r="Q55" i="3"/>
  <c r="S55" i="3" s="1"/>
  <c r="Q44" i="3"/>
  <c r="S44" i="3" s="1"/>
  <c r="AK43" i="3"/>
  <c r="AI50" i="3"/>
  <c r="AK50" i="3" s="1"/>
  <c r="Q50" i="3"/>
  <c r="S50" i="3" s="1"/>
  <c r="Q38" i="3"/>
  <c r="S38" i="3" s="1"/>
  <c r="Q59" i="3"/>
  <c r="S59" i="3" s="1"/>
  <c r="Q43" i="3"/>
  <c r="Q40" i="3" s="1"/>
  <c r="AI53" i="3"/>
  <c r="AK53" i="3" s="1"/>
  <c r="AI54" i="3"/>
  <c r="AK54" i="3" s="1"/>
  <c r="Q54" i="3"/>
  <c r="S54" i="3" s="1"/>
  <c r="Q51" i="3"/>
  <c r="S51" i="3" s="1"/>
  <c r="R43" i="3"/>
  <c r="R40" i="3" s="1"/>
  <c r="AI57" i="3"/>
  <c r="AK57" i="3" s="1"/>
  <c r="AI58" i="3"/>
  <c r="AK58" i="3" s="1"/>
  <c r="R35" i="3"/>
  <c r="R33" i="3" s="1"/>
  <c r="Q35" i="3"/>
  <c r="AI37" i="3"/>
  <c r="AK37" i="3" s="1"/>
  <c r="AI51" i="3"/>
  <c r="AK51" i="3" s="1"/>
  <c r="Q52" i="3"/>
  <c r="S52" i="3" s="1"/>
  <c r="AK52" i="14"/>
  <c r="S35" i="14"/>
  <c r="AK59" i="14"/>
  <c r="AJ40" i="14"/>
  <c r="S60" i="14"/>
  <c r="AK45" i="14"/>
  <c r="S38" i="14"/>
  <c r="S55" i="14"/>
  <c r="AK58" i="14"/>
  <c r="AK46" i="16"/>
  <c r="S59" i="16"/>
  <c r="S49" i="16"/>
  <c r="S37" i="16"/>
  <c r="S43" i="16"/>
  <c r="R47" i="16"/>
  <c r="R33" i="16"/>
  <c r="AJ40" i="16"/>
  <c r="K40" i="16"/>
  <c r="AE56" i="16"/>
  <c r="L33" i="16"/>
  <c r="M52" i="16"/>
  <c r="L40" i="16"/>
  <c r="AD40" i="16"/>
  <c r="M60" i="16"/>
  <c r="AE43" i="16"/>
  <c r="AD47" i="14"/>
  <c r="M45" i="14"/>
  <c r="M56" i="14"/>
  <c r="AE60" i="14"/>
  <c r="AC40" i="13"/>
  <c r="AC43" i="3"/>
  <c r="AC40" i="3" s="1"/>
  <c r="AC55" i="3"/>
  <c r="AE55" i="3" s="1"/>
  <c r="AC53" i="3"/>
  <c r="AE53" i="3" s="1"/>
  <c r="AC52" i="3"/>
  <c r="AE52" i="3" s="1"/>
  <c r="AD35" i="3"/>
  <c r="AD33" i="3" s="1"/>
  <c r="AC59" i="3"/>
  <c r="K46" i="3"/>
  <c r="M46" i="3" s="1"/>
  <c r="K35" i="3"/>
  <c r="K33" i="3" s="1"/>
  <c r="AC58" i="3"/>
  <c r="AE58" i="3" s="1"/>
  <c r="AD43" i="3"/>
  <c r="AD40" i="3" s="1"/>
  <c r="K45" i="3"/>
  <c r="K56" i="3"/>
  <c r="M56" i="3" s="1"/>
  <c r="K60" i="3"/>
  <c r="M60" i="3" s="1"/>
  <c r="K53" i="3"/>
  <c r="L45" i="3"/>
  <c r="L40" i="3" s="1"/>
  <c r="M51" i="3"/>
  <c r="K51" i="3"/>
  <c r="AC51" i="3"/>
  <c r="AE51" i="3" s="1"/>
  <c r="AC36" i="3"/>
  <c r="AC35" i="3"/>
  <c r="K55" i="3"/>
  <c r="M55" i="3" s="1"/>
  <c r="AC57" i="13"/>
  <c r="AE57" i="13" s="1"/>
  <c r="M33" i="13"/>
  <c r="AE42" i="13"/>
  <c r="AE40" i="13" s="1"/>
  <c r="AC50" i="13"/>
  <c r="AE50" i="13" s="1"/>
  <c r="K52" i="13"/>
  <c r="M52" i="13" s="1"/>
  <c r="AC36" i="13"/>
  <c r="AE36" i="13" s="1"/>
  <c r="AC58" i="13"/>
  <c r="AE58" i="13" s="1"/>
  <c r="K57" i="13"/>
  <c r="M57" i="13" s="1"/>
  <c r="AC37" i="13"/>
  <c r="AE37" i="13" s="1"/>
  <c r="AC60" i="13"/>
  <c r="AE60" i="13" s="1"/>
  <c r="K45" i="13"/>
  <c r="K40" i="13" s="1"/>
  <c r="Y33" i="13"/>
  <c r="AC55" i="13"/>
  <c r="M58" i="13"/>
  <c r="K58" i="13"/>
  <c r="L45" i="13"/>
  <c r="L40" i="13" s="1"/>
  <c r="AC53" i="13"/>
  <c r="AE53" i="13" s="1"/>
  <c r="AC35" i="13"/>
  <c r="AE35" i="13" s="1"/>
  <c r="M51" i="13"/>
  <c r="Y53" i="16"/>
  <c r="AK49" i="16"/>
  <c r="G58" i="16"/>
  <c r="M50" i="16"/>
  <c r="Y58" i="16"/>
  <c r="AE42" i="16"/>
  <c r="AK43" i="16"/>
  <c r="Y57" i="16"/>
  <c r="AK53" i="16"/>
  <c r="M54" i="16"/>
  <c r="S50" i="16"/>
  <c r="Y36" i="16"/>
  <c r="S55" i="16"/>
  <c r="AK57" i="16"/>
  <c r="M58" i="16"/>
  <c r="M44" i="16"/>
  <c r="Y37" i="16"/>
  <c r="G56" i="16"/>
  <c r="F47" i="16"/>
  <c r="M33" i="16"/>
  <c r="L47" i="16"/>
  <c r="M51" i="16"/>
  <c r="Y42" i="16"/>
  <c r="W40" i="16"/>
  <c r="Q40" i="16"/>
  <c r="S40" i="16" s="1"/>
  <c r="AK59" i="16"/>
  <c r="G37" i="16"/>
  <c r="E33" i="16"/>
  <c r="G33" i="16" s="1"/>
  <c r="G43" i="16"/>
  <c r="G38" i="16"/>
  <c r="Y52" i="16"/>
  <c r="AK35" i="16"/>
  <c r="AK42" i="16"/>
  <c r="AI40" i="16"/>
  <c r="M46" i="16"/>
  <c r="M45" i="16"/>
  <c r="M36" i="16"/>
  <c r="S53" i="16"/>
  <c r="AE44" i="16"/>
  <c r="K47" i="16"/>
  <c r="AI47" i="16"/>
  <c r="AK36" i="16"/>
  <c r="M55" i="16"/>
  <c r="AC40" i="16"/>
  <c r="M35" i="16"/>
  <c r="Y46" i="16"/>
  <c r="M53" i="16"/>
  <c r="Y56" i="16"/>
  <c r="AK56" i="16"/>
  <c r="S38" i="16"/>
  <c r="Q47" i="16"/>
  <c r="AE59" i="16"/>
  <c r="W47" i="16"/>
  <c r="S54" i="16"/>
  <c r="Y49" i="16"/>
  <c r="Y43" i="16"/>
  <c r="AE38" i="16"/>
  <c r="S39" i="16"/>
  <c r="S44" i="16"/>
  <c r="Y54" i="16"/>
  <c r="W33" i="16"/>
  <c r="M57" i="16"/>
  <c r="S60" i="16"/>
  <c r="AE37" i="16"/>
  <c r="AC33" i="16"/>
  <c r="AC47" i="16"/>
  <c r="G49" i="16"/>
  <c r="E47" i="16"/>
  <c r="Y44" i="16"/>
  <c r="X47" i="16"/>
  <c r="M43" i="16"/>
  <c r="E40" i="16"/>
  <c r="G40" i="16" s="1"/>
  <c r="Y51" i="16"/>
  <c r="AI33" i="16"/>
  <c r="AD33" i="16"/>
  <c r="M56" i="16"/>
  <c r="AK60" i="16"/>
  <c r="G51" i="16"/>
  <c r="S42" i="16"/>
  <c r="F47" i="14"/>
  <c r="Y49" i="14"/>
  <c r="W47" i="14"/>
  <c r="AE53" i="14"/>
  <c r="AK56" i="14"/>
  <c r="S37" i="14"/>
  <c r="R33" i="14"/>
  <c r="X47" i="14"/>
  <c r="M54" i="14"/>
  <c r="S59" i="14"/>
  <c r="M51" i="14"/>
  <c r="S53" i="14"/>
  <c r="G57" i="14"/>
  <c r="G58" i="14"/>
  <c r="Y33" i="14"/>
  <c r="AE54" i="14"/>
  <c r="S57" i="14"/>
  <c r="AE56" i="14"/>
  <c r="AE57" i="14"/>
  <c r="M44" i="14"/>
  <c r="M58" i="14"/>
  <c r="Y50" i="14"/>
  <c r="AE55" i="14"/>
  <c r="G52" i="14"/>
  <c r="M55" i="14"/>
  <c r="AK43" i="14"/>
  <c r="AI40" i="14"/>
  <c r="AK40" i="14" s="1"/>
  <c r="S54" i="14"/>
  <c r="Y57" i="14"/>
  <c r="AK44" i="14"/>
  <c r="Y56" i="14"/>
  <c r="Y55" i="14"/>
  <c r="AK51" i="14"/>
  <c r="M49" i="14"/>
  <c r="K47" i="14"/>
  <c r="Q33" i="14"/>
  <c r="F33" i="14"/>
  <c r="AK49" i="14"/>
  <c r="AI47" i="14"/>
  <c r="M43" i="14"/>
  <c r="K40" i="14"/>
  <c r="S49" i="14"/>
  <c r="Q47" i="14"/>
  <c r="L47" i="14"/>
  <c r="AE38" i="14"/>
  <c r="G50" i="14"/>
  <c r="M53" i="14"/>
  <c r="S58" i="14"/>
  <c r="AE35" i="14"/>
  <c r="AJ47" i="14"/>
  <c r="Y58" i="14"/>
  <c r="R47" i="14"/>
  <c r="AD33" i="14"/>
  <c r="AE49" i="14"/>
  <c r="AC47" i="14"/>
  <c r="AC33" i="14"/>
  <c r="E33" i="14"/>
  <c r="S56" i="14"/>
  <c r="Y44" i="14"/>
  <c r="AK57" i="14"/>
  <c r="AK50" i="14"/>
  <c r="M52" i="14"/>
  <c r="G49" i="14"/>
  <c r="E47" i="14"/>
  <c r="W40" i="14"/>
  <c r="AG35" i="6"/>
  <c r="AI35" i="6" s="1"/>
  <c r="AK35" i="6" s="1"/>
  <c r="AK60" i="6"/>
  <c r="AE54" i="6"/>
  <c r="AE59" i="6"/>
  <c r="AE56" i="6"/>
  <c r="AE55" i="6"/>
  <c r="AE58" i="6"/>
  <c r="AE57" i="6"/>
  <c r="P43" i="6"/>
  <c r="R43" i="6" s="1"/>
  <c r="S43" i="6" s="1"/>
  <c r="O45" i="6"/>
  <c r="Q45" i="6" s="1"/>
  <c r="S45" i="6" s="1"/>
  <c r="AG39" i="6"/>
  <c r="AI39" i="6" s="1"/>
  <c r="AK39" i="6" s="1"/>
  <c r="AF44" i="6"/>
  <c r="AH44" i="6" s="1"/>
  <c r="AJ44" i="6" s="1"/>
  <c r="AF45" i="6"/>
  <c r="AH45" i="6" s="1"/>
  <c r="AJ45" i="6" s="1"/>
  <c r="AG41" i="6"/>
  <c r="AI41" i="6" s="1"/>
  <c r="AH41" i="6"/>
  <c r="AJ41" i="6" s="1"/>
  <c r="AK41" i="6" s="1"/>
  <c r="AH43" i="6"/>
  <c r="AJ43" i="6" s="1"/>
  <c r="D44" i="6"/>
  <c r="F44" i="6" s="1"/>
  <c r="G44" i="6" s="1"/>
  <c r="P42" i="6"/>
  <c r="R42" i="6" s="1"/>
  <c r="F47" i="3"/>
  <c r="L47" i="3"/>
  <c r="Y35" i="3"/>
  <c r="G52" i="3"/>
  <c r="M37" i="3"/>
  <c r="Y37" i="3"/>
  <c r="S53" i="3"/>
  <c r="M52" i="3"/>
  <c r="AE54" i="3"/>
  <c r="AK60" i="3"/>
  <c r="G51" i="3"/>
  <c r="M57" i="3"/>
  <c r="Y49" i="3"/>
  <c r="AK45" i="3"/>
  <c r="G58" i="3"/>
  <c r="AE56" i="3"/>
  <c r="Y38" i="3"/>
  <c r="G53" i="3"/>
  <c r="M59" i="3"/>
  <c r="W33" i="3"/>
  <c r="G49" i="3"/>
  <c r="E47" i="3"/>
  <c r="X47" i="3"/>
  <c r="S60" i="3"/>
  <c r="Y58" i="3"/>
  <c r="S56" i="3"/>
  <c r="AK44" i="3"/>
  <c r="AE57" i="3"/>
  <c r="AE38" i="3"/>
  <c r="Y52" i="3"/>
  <c r="S39" i="3"/>
  <c r="G55" i="3"/>
  <c r="G43" i="3"/>
  <c r="G40" i="3" s="1"/>
  <c r="E40" i="3"/>
  <c r="G54" i="3"/>
  <c r="AE49" i="3"/>
  <c r="AK49" i="3"/>
  <c r="AJ40" i="3"/>
  <c r="G38" i="3"/>
  <c r="G33" i="3" s="1"/>
  <c r="AD47" i="3"/>
  <c r="AJ47" i="3"/>
  <c r="M50" i="3"/>
  <c r="M38" i="3"/>
  <c r="AE60" i="3"/>
  <c r="Y56" i="3"/>
  <c r="AK38" i="3"/>
  <c r="M44" i="3"/>
  <c r="Y51" i="3"/>
  <c r="AK35" i="3"/>
  <c r="AJ33" i="3"/>
  <c r="M54" i="3"/>
  <c r="S58" i="3"/>
  <c r="Y50" i="3"/>
  <c r="AE44" i="3"/>
  <c r="AK55" i="3"/>
  <c r="Y59" i="3"/>
  <c r="AK52" i="3"/>
  <c r="M35" i="3"/>
  <c r="M58" i="3"/>
  <c r="Y54" i="3"/>
  <c r="S49" i="3"/>
  <c r="G50" i="3"/>
  <c r="AE50" i="3"/>
  <c r="AK56" i="3"/>
  <c r="M49" i="3"/>
  <c r="L33" i="3"/>
  <c r="R47" i="3"/>
  <c r="Y44" i="3"/>
  <c r="AE54" i="13"/>
  <c r="M55" i="13"/>
  <c r="AE59" i="13"/>
  <c r="M54" i="13"/>
  <c r="G38" i="13"/>
  <c r="R47" i="13"/>
  <c r="AE49" i="13"/>
  <c r="S51" i="13"/>
  <c r="M59" i="13"/>
  <c r="Y51" i="13"/>
  <c r="Y54" i="13"/>
  <c r="AD33" i="13"/>
  <c r="AD47" i="13"/>
  <c r="Y45" i="13"/>
  <c r="Y40" i="13" s="1"/>
  <c r="W40" i="13"/>
  <c r="S55" i="13"/>
  <c r="Y55" i="13"/>
  <c r="AE52" i="13"/>
  <c r="AK49" i="13"/>
  <c r="AK50" i="13"/>
  <c r="G35" i="13"/>
  <c r="AK59" i="13"/>
  <c r="AE56" i="13"/>
  <c r="S39" i="13"/>
  <c r="Y49" i="13"/>
  <c r="AJ47" i="13"/>
  <c r="S59" i="13"/>
  <c r="Y59" i="13"/>
  <c r="F33" i="13"/>
  <c r="M56" i="13"/>
  <c r="M50" i="13"/>
  <c r="M49" i="13"/>
  <c r="Y50" i="13"/>
  <c r="AE51" i="13"/>
  <c r="AE38" i="13"/>
  <c r="G53" i="13"/>
  <c r="L47" i="13"/>
  <c r="AK57" i="13"/>
  <c r="G51" i="13"/>
  <c r="AK58" i="13"/>
  <c r="G56" i="13"/>
  <c r="G49" i="13"/>
  <c r="E47" i="13"/>
  <c r="M53" i="13"/>
  <c r="Y57" i="13"/>
  <c r="F47" i="13"/>
  <c r="S49" i="13"/>
  <c r="J3" i="13"/>
  <c r="J7" i="13"/>
  <c r="B7" i="13" s="1"/>
  <c r="AA2" i="13"/>
  <c r="AB6" i="13"/>
  <c r="T6" i="13" s="1"/>
  <c r="J14" i="13"/>
  <c r="B14" i="13" s="1"/>
  <c r="U5" i="13"/>
  <c r="V5" i="13" s="1"/>
  <c r="J5" i="13"/>
  <c r="J2" i="13" s="1"/>
  <c r="AB7" i="13"/>
  <c r="T7" i="13" s="1"/>
  <c r="T13" i="13"/>
  <c r="T4" i="13"/>
  <c r="U4" i="13"/>
  <c r="V4" i="13" s="1"/>
  <c r="U6" i="13"/>
  <c r="V6" i="13" s="1"/>
  <c r="U11" i="13"/>
  <c r="V11" i="13" s="1"/>
  <c r="AB11" i="13"/>
  <c r="T11" i="13" s="1"/>
  <c r="J13" i="13"/>
  <c r="C14" i="13"/>
  <c r="D14" i="13" s="1"/>
  <c r="T3" i="13"/>
  <c r="J18" i="13"/>
  <c r="B18" i="13" s="1"/>
  <c r="B8" i="13"/>
  <c r="C8" i="13"/>
  <c r="D8" i="13" s="1"/>
  <c r="B6" i="13"/>
  <c r="C6" i="13"/>
  <c r="D6" i="13" s="1"/>
  <c r="Z9" i="13"/>
  <c r="I2" i="13"/>
  <c r="I9" i="13"/>
  <c r="AB12" i="13"/>
  <c r="T12" i="13" s="1"/>
  <c r="J15" i="13"/>
  <c r="B15" i="13" s="1"/>
  <c r="J11" i="13"/>
  <c r="C11" i="13" s="1"/>
  <c r="D11" i="13" s="1"/>
  <c r="U14" i="13"/>
  <c r="V14" i="13" s="1"/>
  <c r="AA9" i="13"/>
  <c r="AB8" i="13"/>
  <c r="T8" i="13" s="1"/>
  <c r="J10" i="3"/>
  <c r="J6" i="3"/>
  <c r="B6" i="3" s="1"/>
  <c r="J8" i="3"/>
  <c r="B8" i="3" s="1"/>
  <c r="J17" i="3"/>
  <c r="AB6" i="3"/>
  <c r="T6" i="3" s="1"/>
  <c r="AB13" i="3"/>
  <c r="T13" i="3" s="1"/>
  <c r="J7" i="3"/>
  <c r="B7" i="3" s="1"/>
  <c r="C14" i="3"/>
  <c r="D14" i="3" s="1"/>
  <c r="J15" i="3"/>
  <c r="B15" i="3" s="1"/>
  <c r="AB7" i="3"/>
  <c r="T7" i="3" s="1"/>
  <c r="AB8" i="3"/>
  <c r="T8" i="3" s="1"/>
  <c r="AB15" i="3"/>
  <c r="T15" i="3" s="1"/>
  <c r="J4" i="3"/>
  <c r="B4" i="3" s="1"/>
  <c r="J11" i="3"/>
  <c r="C11" i="3" s="1"/>
  <c r="D11" i="3" s="1"/>
  <c r="AB4" i="3"/>
  <c r="U4" i="3" s="1"/>
  <c r="V4" i="3" s="1"/>
  <c r="J12" i="3"/>
  <c r="B12" i="3" s="1"/>
  <c r="U5" i="3"/>
  <c r="V5" i="3" s="1"/>
  <c r="C6" i="3"/>
  <c r="D6" i="3" s="1"/>
  <c r="J13" i="3"/>
  <c r="U3" i="3"/>
  <c r="V3" i="3" s="1"/>
  <c r="V2" i="3" s="1"/>
  <c r="T3" i="3"/>
  <c r="U11" i="3"/>
  <c r="V11" i="3" s="1"/>
  <c r="T11" i="3"/>
  <c r="AB10" i="3"/>
  <c r="U10" i="3" s="1"/>
  <c r="C8" i="3"/>
  <c r="D8" i="3" s="1"/>
  <c r="AB12" i="3"/>
  <c r="U12" i="3" s="1"/>
  <c r="V12" i="3" s="1"/>
  <c r="J5" i="3"/>
  <c r="C5" i="3" s="1"/>
  <c r="D5" i="3" s="1"/>
  <c r="U13" i="3"/>
  <c r="V13" i="3" s="1"/>
  <c r="C13" i="3"/>
  <c r="D13" i="3" s="1"/>
  <c r="B13" i="3"/>
  <c r="C3" i="3"/>
  <c r="B3" i="3"/>
  <c r="C10" i="3"/>
  <c r="B10" i="3"/>
  <c r="C17" i="3"/>
  <c r="D17" i="3" s="1"/>
  <c r="B17" i="3"/>
  <c r="H9" i="3"/>
  <c r="I2" i="3"/>
  <c r="AA9" i="3"/>
  <c r="AA2" i="3"/>
  <c r="C15" i="3"/>
  <c r="D15" i="3" s="1"/>
  <c r="U6" i="3"/>
  <c r="V6" i="3" s="1"/>
  <c r="U14" i="3"/>
  <c r="V14" i="3" s="1"/>
  <c r="Z9" i="3"/>
  <c r="AB17" i="14"/>
  <c r="T17" i="14" s="1"/>
  <c r="J5" i="14"/>
  <c r="B5" i="14" s="1"/>
  <c r="AB18" i="14"/>
  <c r="T18" i="14" s="1"/>
  <c r="AB8" i="14"/>
  <c r="T8" i="14" s="1"/>
  <c r="J12" i="14"/>
  <c r="B12" i="14" s="1"/>
  <c r="J8" i="14"/>
  <c r="B8" i="14" s="1"/>
  <c r="AB14" i="14"/>
  <c r="T14" i="14" s="1"/>
  <c r="Z9" i="14"/>
  <c r="J15" i="14"/>
  <c r="B15" i="14" s="1"/>
  <c r="AB11" i="14"/>
  <c r="T11" i="14" s="1"/>
  <c r="J14" i="16"/>
  <c r="B14" i="16" s="1"/>
  <c r="AB7" i="16"/>
  <c r="T7" i="16" s="1"/>
  <c r="J11" i="16"/>
  <c r="B11" i="16" s="1"/>
  <c r="J12" i="16"/>
  <c r="C12" i="16" s="1"/>
  <c r="D12" i="16" s="1"/>
  <c r="AB15" i="16"/>
  <c r="T15" i="16" s="1"/>
  <c r="AB17" i="16"/>
  <c r="T17" i="16" s="1"/>
  <c r="J8" i="16"/>
  <c r="B8" i="16" s="1"/>
  <c r="AB11" i="16"/>
  <c r="T11" i="16" s="1"/>
  <c r="J3" i="16"/>
  <c r="B3" i="16" s="1"/>
  <c r="AB6" i="16"/>
  <c r="T6" i="16" s="1"/>
  <c r="J17" i="16"/>
  <c r="H9" i="16"/>
  <c r="I2" i="16"/>
  <c r="J13" i="16"/>
  <c r="B13" i="16" s="1"/>
  <c r="AB3" i="16"/>
  <c r="T3" i="16" s="1"/>
  <c r="J7" i="16"/>
  <c r="B7" i="16" s="1"/>
  <c r="AB4" i="16"/>
  <c r="T4" i="16" s="1"/>
  <c r="C15" i="16"/>
  <c r="D15" i="16" s="1"/>
  <c r="J6" i="16"/>
  <c r="B6" i="16" s="1"/>
  <c r="AB13" i="16"/>
  <c r="T13" i="16" s="1"/>
  <c r="U7" i="16"/>
  <c r="V7" i="16" s="1"/>
  <c r="AB8" i="16"/>
  <c r="T8" i="16" s="1"/>
  <c r="AB14" i="16"/>
  <c r="T14" i="16" s="1"/>
  <c r="C3" i="16"/>
  <c r="D3" i="16" s="1"/>
  <c r="D2" i="16" s="1"/>
  <c r="AB10" i="16"/>
  <c r="T10" i="16" s="1"/>
  <c r="U15" i="16"/>
  <c r="V15" i="16" s="1"/>
  <c r="J4" i="16"/>
  <c r="B4" i="16" s="1"/>
  <c r="AB5" i="16"/>
  <c r="T5" i="16" s="1"/>
  <c r="AB12" i="16"/>
  <c r="T12" i="16" s="1"/>
  <c r="C8" i="16"/>
  <c r="D8" i="16" s="1"/>
  <c r="B10" i="16"/>
  <c r="C10" i="16"/>
  <c r="C4" i="16"/>
  <c r="D4" i="16" s="1"/>
  <c r="AA2" i="16"/>
  <c r="J5" i="16"/>
  <c r="B5" i="16" s="1"/>
  <c r="AB18" i="16"/>
  <c r="U18" i="16" s="1"/>
  <c r="V18" i="16" s="1"/>
  <c r="J18" i="16"/>
  <c r="B18" i="16" s="1"/>
  <c r="AA9" i="16"/>
  <c r="U3" i="16"/>
  <c r="U17" i="16"/>
  <c r="V17" i="16" s="1"/>
  <c r="V16" i="16" s="1"/>
  <c r="U6" i="16"/>
  <c r="V6" i="16" s="1"/>
  <c r="B17" i="23"/>
  <c r="B16" i="23" s="1"/>
  <c r="E16" i="23" s="1"/>
  <c r="K36" i="23"/>
  <c r="N39" i="23"/>
  <c r="O39" i="23" s="1"/>
  <c r="O34" i="23"/>
  <c r="N35" i="23"/>
  <c r="O35" i="23" s="1"/>
  <c r="N38" i="23"/>
  <c r="O38" i="23" s="1"/>
  <c r="K41" i="23"/>
  <c r="N50" i="23"/>
  <c r="O50" i="23" s="1"/>
  <c r="I42" i="23"/>
  <c r="J42" i="23" s="1"/>
  <c r="C51" i="23"/>
  <c r="N53" i="23"/>
  <c r="O53" i="23" s="1"/>
  <c r="N52" i="23"/>
  <c r="O52" i="23" s="1"/>
  <c r="N51" i="23"/>
  <c r="O51" i="23" s="1"/>
  <c r="K49" i="23"/>
  <c r="F34" i="23"/>
  <c r="K35" i="23"/>
  <c r="D38" i="23"/>
  <c r="O48" i="23"/>
  <c r="B3" i="23"/>
  <c r="B2" i="23" s="1"/>
  <c r="F2" i="23" s="1"/>
  <c r="J16" i="23"/>
  <c r="L35" i="23"/>
  <c r="M35" i="23" s="1"/>
  <c r="E38" i="23"/>
  <c r="F38" i="23" s="1"/>
  <c r="I46" i="23"/>
  <c r="E49" i="23"/>
  <c r="F49" i="23" s="1"/>
  <c r="L41" i="23"/>
  <c r="J9" i="23"/>
  <c r="M34" i="23"/>
  <c r="G38" i="23"/>
  <c r="H38" i="23" s="1"/>
  <c r="L39" i="23"/>
  <c r="M39" i="23" s="1"/>
  <c r="E37" i="23"/>
  <c r="F37" i="23" s="1"/>
  <c r="D36" i="23"/>
  <c r="I43" i="23"/>
  <c r="N49" i="23"/>
  <c r="O49" i="23" s="1"/>
  <c r="C35" i="23"/>
  <c r="G37" i="23"/>
  <c r="H37" i="23" s="1"/>
  <c r="L38" i="23"/>
  <c r="M38" i="23" s="1"/>
  <c r="E39" i="23"/>
  <c r="F39" i="23" s="1"/>
  <c r="E36" i="23"/>
  <c r="F36" i="23" s="1"/>
  <c r="E55" i="23"/>
  <c r="F55" i="23" s="1"/>
  <c r="B44" i="23"/>
  <c r="D44" i="23" s="1"/>
  <c r="G36" i="23"/>
  <c r="H36" i="23" s="1"/>
  <c r="G35" i="23"/>
  <c r="H35" i="23" s="1"/>
  <c r="G46" i="23"/>
  <c r="H46" i="23" s="1"/>
  <c r="G42" i="23"/>
  <c r="H42" i="23" s="1"/>
  <c r="H41" i="23"/>
  <c r="G43" i="23"/>
  <c r="H43" i="23" s="1"/>
  <c r="G45" i="23"/>
  <c r="H45" i="23" s="1"/>
  <c r="G44" i="23"/>
  <c r="H44" i="23" s="1"/>
  <c r="K45" i="23"/>
  <c r="J45" i="23"/>
  <c r="K9" i="23"/>
  <c r="M9" i="23"/>
  <c r="L9" i="23"/>
  <c r="K16" i="23"/>
  <c r="M16" i="23"/>
  <c r="L16" i="23"/>
  <c r="D2" i="23"/>
  <c r="L51" i="23"/>
  <c r="M51" i="23" s="1"/>
  <c r="I3" i="23"/>
  <c r="I2" i="23" s="1"/>
  <c r="B10" i="23"/>
  <c r="B9" i="23" s="1"/>
  <c r="F48" i="23"/>
  <c r="G49" i="23"/>
  <c r="H49" i="23" s="1"/>
  <c r="G55" i="23"/>
  <c r="H55" i="23" s="1"/>
  <c r="B45" i="23"/>
  <c r="L50" i="23"/>
  <c r="M50" i="23" s="1"/>
  <c r="C53" i="23"/>
  <c r="E54" i="23"/>
  <c r="F54" i="23" s="1"/>
  <c r="K37" i="23"/>
  <c r="F16" i="23"/>
  <c r="B42" i="23"/>
  <c r="B46" i="23"/>
  <c r="M48" i="23"/>
  <c r="L49" i="23"/>
  <c r="M49" i="23" s="1"/>
  <c r="G54" i="23"/>
  <c r="H54" i="23" s="1"/>
  <c r="L55" i="23"/>
  <c r="M55" i="23" s="1"/>
  <c r="K38" i="23"/>
  <c r="C41" i="23"/>
  <c r="I44" i="23"/>
  <c r="E52" i="23"/>
  <c r="F52" i="23" s="1"/>
  <c r="E53" i="23"/>
  <c r="F53" i="23" s="1"/>
  <c r="N55" i="23"/>
  <c r="O55" i="23" s="1"/>
  <c r="N36" i="23"/>
  <c r="O36" i="23" s="1"/>
  <c r="D41" i="23"/>
  <c r="N41" i="23"/>
  <c r="E51" i="23"/>
  <c r="F51" i="23" s="1"/>
  <c r="J39" i="23"/>
  <c r="B43" i="23"/>
  <c r="C49" i="23"/>
  <c r="G51" i="23"/>
  <c r="H51" i="23" s="1"/>
  <c r="G52" i="23"/>
  <c r="H52" i="23" s="1"/>
  <c r="L54" i="23"/>
  <c r="M54" i="23" s="1"/>
  <c r="L52" i="23"/>
  <c r="M52" i="23" s="1"/>
  <c r="C37" i="23"/>
  <c r="J51" i="23"/>
  <c r="J52" i="23"/>
  <c r="E41" i="23"/>
  <c r="D55" i="22"/>
  <c r="G41" i="22"/>
  <c r="H41" i="22" s="1"/>
  <c r="E41" i="22"/>
  <c r="E46" i="22" s="1"/>
  <c r="F46" i="22" s="1"/>
  <c r="B42" i="22"/>
  <c r="C42" i="22" s="1"/>
  <c r="C35" i="22"/>
  <c r="C36" i="22"/>
  <c r="B46" i="22"/>
  <c r="C46" i="22" s="1"/>
  <c r="G53" i="22"/>
  <c r="H53" i="22" s="1"/>
  <c r="G54" i="22"/>
  <c r="H54" i="22" s="1"/>
  <c r="G55" i="22"/>
  <c r="H55" i="22" s="1"/>
  <c r="C38" i="22"/>
  <c r="C39" i="22"/>
  <c r="J51" i="22"/>
  <c r="J2" i="22"/>
  <c r="N51" i="22"/>
  <c r="O51" i="22" s="1"/>
  <c r="N53" i="22"/>
  <c r="O53" i="22" s="1"/>
  <c r="C16" i="22"/>
  <c r="B45" i="22"/>
  <c r="C45" i="22" s="1"/>
  <c r="G35" i="22"/>
  <c r="H35" i="22" s="1"/>
  <c r="J16" i="22"/>
  <c r="L16" i="22"/>
  <c r="M16" i="22"/>
  <c r="K2" i="22"/>
  <c r="L2" i="22"/>
  <c r="G39" i="22"/>
  <c r="H39" i="22" s="1"/>
  <c r="N52" i="22"/>
  <c r="O52" i="22" s="1"/>
  <c r="N54" i="22"/>
  <c r="O54" i="22" s="1"/>
  <c r="J38" i="22"/>
  <c r="D42" i="22"/>
  <c r="K37" i="22"/>
  <c r="D41" i="22"/>
  <c r="N38" i="22"/>
  <c r="O38" i="22" s="1"/>
  <c r="N39" i="22"/>
  <c r="O39" i="22" s="1"/>
  <c r="J46" i="22"/>
  <c r="K46" i="22"/>
  <c r="F2" i="22"/>
  <c r="E2" i="22"/>
  <c r="D2" i="22"/>
  <c r="M9" i="22"/>
  <c r="L9" i="22"/>
  <c r="K9" i="22"/>
  <c r="C2" i="22"/>
  <c r="N55" i="22"/>
  <c r="O55" i="22" s="1"/>
  <c r="K36" i="22"/>
  <c r="B10" i="22"/>
  <c r="B9" i="22" s="1"/>
  <c r="F9" i="22" s="1"/>
  <c r="G44" i="22"/>
  <c r="H44" i="22" s="1"/>
  <c r="D16" i="22"/>
  <c r="B43" i="22"/>
  <c r="E52" i="22"/>
  <c r="F52" i="22" s="1"/>
  <c r="H34" i="22"/>
  <c r="J41" i="22"/>
  <c r="K35" i="22"/>
  <c r="E16" i="22"/>
  <c r="B44" i="22"/>
  <c r="K41" i="22"/>
  <c r="I42" i="22"/>
  <c r="H48" i="22"/>
  <c r="D37" i="22"/>
  <c r="G49" i="22"/>
  <c r="H49" i="22" s="1"/>
  <c r="I43" i="22"/>
  <c r="N41" i="22"/>
  <c r="O34" i="22"/>
  <c r="C52" i="22"/>
  <c r="D53" i="22"/>
  <c r="G36" i="22"/>
  <c r="H36" i="22" s="1"/>
  <c r="G50" i="22"/>
  <c r="H50" i="22" s="1"/>
  <c r="I44" i="22"/>
  <c r="N35" i="22"/>
  <c r="O35" i="22" s="1"/>
  <c r="N49" i="22"/>
  <c r="O49" i="22" s="1"/>
  <c r="K39" i="22"/>
  <c r="K16" i="22"/>
  <c r="G37" i="22"/>
  <c r="H37" i="22" s="1"/>
  <c r="G51" i="22"/>
  <c r="H51" i="22" s="1"/>
  <c r="I45" i="22"/>
  <c r="N36" i="22"/>
  <c r="O36" i="22" s="1"/>
  <c r="N50" i="22"/>
  <c r="O50" i="22" s="1"/>
  <c r="AE57" i="2"/>
  <c r="AE55" i="2"/>
  <c r="AE59" i="2"/>
  <c r="U36" i="2"/>
  <c r="W36" i="2" s="1"/>
  <c r="G53" i="2"/>
  <c r="G52" i="2"/>
  <c r="D39" i="2"/>
  <c r="F39" i="2" s="1"/>
  <c r="G39" i="2" s="1"/>
  <c r="D35" i="2"/>
  <c r="F35" i="2" s="1"/>
  <c r="G35" i="2" s="1"/>
  <c r="P48" i="2"/>
  <c r="R48" i="2" s="1"/>
  <c r="O48" i="2"/>
  <c r="Q48" i="2" s="1"/>
  <c r="D49" i="2"/>
  <c r="F49" i="2" s="1"/>
  <c r="F47" i="2" s="1"/>
  <c r="C49" i="2"/>
  <c r="E49" i="2" s="1"/>
  <c r="N54" i="2"/>
  <c r="N60" i="2"/>
  <c r="N55" i="2"/>
  <c r="N56" i="2"/>
  <c r="N53" i="2"/>
  <c r="N50" i="2"/>
  <c r="N51" i="2"/>
  <c r="N57" i="2"/>
  <c r="N52" i="2"/>
  <c r="N58" i="2"/>
  <c r="N59" i="2"/>
  <c r="AB6" i="2"/>
  <c r="T6" i="2" s="1"/>
  <c r="U6" i="2" s="1"/>
  <c r="AB13" i="2"/>
  <c r="T13" i="2" s="1"/>
  <c r="U13" i="2" s="1"/>
  <c r="D17" i="6"/>
  <c r="D16" i="6" s="1"/>
  <c r="H16" i="6"/>
  <c r="C7" i="13"/>
  <c r="D7" i="13" s="1"/>
  <c r="B4" i="13"/>
  <c r="C4" i="13"/>
  <c r="D4" i="13" s="1"/>
  <c r="C13" i="13"/>
  <c r="D13" i="13" s="1"/>
  <c r="B13" i="13"/>
  <c r="L39" i="22"/>
  <c r="M39" i="22" s="1"/>
  <c r="L38" i="22"/>
  <c r="M38" i="22" s="1"/>
  <c r="M34" i="22"/>
  <c r="L37" i="22"/>
  <c r="M37" i="22" s="1"/>
  <c r="L36" i="22"/>
  <c r="M36" i="22" s="1"/>
  <c r="L35" i="22"/>
  <c r="M35" i="22" s="1"/>
  <c r="E42" i="22"/>
  <c r="F42" i="22" s="1"/>
  <c r="E45" i="22"/>
  <c r="F45" i="22" s="1"/>
  <c r="B3" i="13"/>
  <c r="B10" i="13"/>
  <c r="C10" i="13"/>
  <c r="V3" i="13"/>
  <c r="V2" i="13" s="1"/>
  <c r="T15" i="13"/>
  <c r="U15" i="13"/>
  <c r="V15" i="13" s="1"/>
  <c r="U7" i="13"/>
  <c r="V7" i="13" s="1"/>
  <c r="J14" i="14"/>
  <c r="C14" i="14" s="1"/>
  <c r="D14" i="14" s="1"/>
  <c r="C12" i="13"/>
  <c r="D12" i="13" s="1"/>
  <c r="L41" i="22"/>
  <c r="AB3" i="14"/>
  <c r="T3" i="14" s="1"/>
  <c r="AB10" i="14"/>
  <c r="L49" i="22"/>
  <c r="M49" i="22" s="1"/>
  <c r="L53" i="22"/>
  <c r="M53" i="22" s="1"/>
  <c r="C3" i="13"/>
  <c r="AB10" i="13"/>
  <c r="AB4" i="14"/>
  <c r="T4" i="14" s="1"/>
  <c r="L54" i="22"/>
  <c r="M54" i="22" s="1"/>
  <c r="M2" i="22"/>
  <c r="AB5" i="14"/>
  <c r="T5" i="14" s="1"/>
  <c r="J10" i="14"/>
  <c r="C10" i="14" s="1"/>
  <c r="D10" i="14" s="1"/>
  <c r="D9" i="14" s="1"/>
  <c r="H9" i="13"/>
  <c r="J6" i="14"/>
  <c r="B6" i="14" s="1"/>
  <c r="E34" i="22"/>
  <c r="AB6" i="14"/>
  <c r="T6" i="14" s="1"/>
  <c r="AB17" i="13"/>
  <c r="T17" i="13" s="1"/>
  <c r="C18" i="16"/>
  <c r="D18" i="16" s="1"/>
  <c r="D49" i="22"/>
  <c r="J18" i="3"/>
  <c r="C18" i="3" s="1"/>
  <c r="D18" i="3" s="1"/>
  <c r="C54" i="22"/>
  <c r="J55" i="23"/>
  <c r="C50" i="22"/>
  <c r="J53" i="22"/>
  <c r="K52" i="22"/>
  <c r="K53" i="23"/>
  <c r="D51" i="22"/>
  <c r="AB18" i="3"/>
  <c r="T18" i="3" s="1"/>
  <c r="J17" i="13"/>
  <c r="B17" i="13" s="1"/>
  <c r="B17" i="16"/>
  <c r="C17" i="16"/>
  <c r="U17" i="3"/>
  <c r="T17" i="3"/>
  <c r="T18" i="16"/>
  <c r="C50" i="23"/>
  <c r="C54" i="23"/>
  <c r="K50" i="22"/>
  <c r="C55" i="23"/>
  <c r="K55" i="22"/>
  <c r="K49" i="22"/>
  <c r="K54" i="22"/>
  <c r="J50" i="23"/>
  <c r="J54" i="23"/>
  <c r="V49" i="6"/>
  <c r="X49" i="6" s="1"/>
  <c r="AH42" i="6"/>
  <c r="AJ42" i="6" s="1"/>
  <c r="AK42" i="6" s="1"/>
  <c r="AB15" i="6"/>
  <c r="T15" i="6" s="1"/>
  <c r="U15" i="6" s="1"/>
  <c r="U39" i="6"/>
  <c r="W39" i="6" s="1"/>
  <c r="O46" i="6"/>
  <c r="Q46" i="6" s="1"/>
  <c r="S46" i="6" s="1"/>
  <c r="AB6" i="6"/>
  <c r="T6" i="6" s="1"/>
  <c r="U6" i="6" s="1"/>
  <c r="AB13" i="6"/>
  <c r="T13" i="6" s="1"/>
  <c r="U13" i="6" s="1"/>
  <c r="AG34" i="6"/>
  <c r="AI34" i="6" s="1"/>
  <c r="V38" i="6"/>
  <c r="X38" i="6" s="1"/>
  <c r="Y38" i="6" s="1"/>
  <c r="Y35" i="6"/>
  <c r="AH46" i="6"/>
  <c r="AJ46" i="6" s="1"/>
  <c r="AK46" i="6" s="1"/>
  <c r="D46" i="6"/>
  <c r="F46" i="6" s="1"/>
  <c r="N36" i="6"/>
  <c r="P48" i="6"/>
  <c r="R48" i="6" s="1"/>
  <c r="O34" i="6"/>
  <c r="Q34" i="6" s="1"/>
  <c r="S34" i="6" s="1"/>
  <c r="N35" i="6"/>
  <c r="O35" i="6" s="1"/>
  <c r="Q35" i="6" s="1"/>
  <c r="C39" i="6"/>
  <c r="E39" i="6" s="1"/>
  <c r="G39" i="6" s="1"/>
  <c r="N37" i="6"/>
  <c r="O37" i="6" s="1"/>
  <c r="Q37" i="6" s="1"/>
  <c r="N38" i="6"/>
  <c r="P38" i="6" s="1"/>
  <c r="R38" i="6" s="1"/>
  <c r="N39" i="6"/>
  <c r="U46" i="6"/>
  <c r="W46" i="6" s="1"/>
  <c r="Y46" i="6" s="1"/>
  <c r="O48" i="6"/>
  <c r="Q48" i="6" s="1"/>
  <c r="N49" i="6"/>
  <c r="P49" i="6" s="1"/>
  <c r="R49" i="6" s="1"/>
  <c r="Y41" i="6"/>
  <c r="U36" i="6"/>
  <c r="W36" i="6" s="1"/>
  <c r="Y36" i="6" s="1"/>
  <c r="G46" i="6"/>
  <c r="J10" i="6"/>
  <c r="B10" i="6" s="1"/>
  <c r="AH34" i="6"/>
  <c r="AJ34" i="6" s="1"/>
  <c r="Y34" i="6"/>
  <c r="G36" i="6"/>
  <c r="AF36" i="6"/>
  <c r="AF38" i="6"/>
  <c r="U43" i="6"/>
  <c r="W43" i="6" s="1"/>
  <c r="Y43" i="6" s="1"/>
  <c r="C45" i="6"/>
  <c r="E45" i="6" s="1"/>
  <c r="G45" i="6" s="1"/>
  <c r="AB17" i="6"/>
  <c r="AH37" i="6"/>
  <c r="AJ37" i="6" s="1"/>
  <c r="AG37" i="6"/>
  <c r="AI37" i="6" s="1"/>
  <c r="C37" i="6"/>
  <c r="E37" i="6" s="1"/>
  <c r="U44" i="6"/>
  <c r="W44" i="6" s="1"/>
  <c r="Y44" i="6" s="1"/>
  <c r="G42" i="6"/>
  <c r="AF49" i="6"/>
  <c r="J6" i="6"/>
  <c r="B6" i="6" s="1"/>
  <c r="C6" i="6" s="1"/>
  <c r="P44" i="6"/>
  <c r="R44" i="6" s="1"/>
  <c r="S44" i="6" s="1"/>
  <c r="AH48" i="6"/>
  <c r="AJ48" i="6" s="1"/>
  <c r="AG48" i="6"/>
  <c r="AI48" i="6" s="1"/>
  <c r="E53" i="22"/>
  <c r="F53" i="22" s="1"/>
  <c r="M48" i="22"/>
  <c r="L55" i="22"/>
  <c r="M55" i="22" s="1"/>
  <c r="AB18" i="13"/>
  <c r="T18" i="13" s="1"/>
  <c r="E51" i="22"/>
  <c r="F51" i="22" s="1"/>
  <c r="F48" i="22"/>
  <c r="E50" i="22"/>
  <c r="F50" i="22" s="1"/>
  <c r="L50" i="22"/>
  <c r="M50" i="22" s="1"/>
  <c r="E55" i="22"/>
  <c r="F55" i="22" s="1"/>
  <c r="E49" i="22"/>
  <c r="F49" i="22" s="1"/>
  <c r="L51" i="22"/>
  <c r="M51" i="22" s="1"/>
  <c r="C49" i="6"/>
  <c r="E49" i="6" s="1"/>
  <c r="G49" i="6" s="1"/>
  <c r="U44" i="2"/>
  <c r="W44" i="2" s="1"/>
  <c r="U43" i="2"/>
  <c r="W43" i="2" s="1"/>
  <c r="Y43" i="2" s="1"/>
  <c r="V38" i="2"/>
  <c r="X38" i="2" s="1"/>
  <c r="U49" i="2"/>
  <c r="W49" i="2" s="1"/>
  <c r="Y49" i="2" s="1"/>
  <c r="AF36" i="2"/>
  <c r="AH36" i="2" s="1"/>
  <c r="AJ36" i="2" s="1"/>
  <c r="AF43" i="2"/>
  <c r="B42" i="2"/>
  <c r="D42" i="2" s="1"/>
  <c r="F42" i="2" s="1"/>
  <c r="AF38" i="2"/>
  <c r="Y41" i="2"/>
  <c r="AH34" i="2"/>
  <c r="AJ34" i="2" s="1"/>
  <c r="AK34" i="2" s="1"/>
  <c r="AF39" i="2"/>
  <c r="AH37" i="2"/>
  <c r="AJ37" i="2" s="1"/>
  <c r="AK37" i="2" s="1"/>
  <c r="N39" i="2"/>
  <c r="O39" i="2" s="1"/>
  <c r="Q39" i="2" s="1"/>
  <c r="AF44" i="2"/>
  <c r="AH44" i="2" s="1"/>
  <c r="AJ44" i="2" s="1"/>
  <c r="AF45" i="2"/>
  <c r="AG45" i="2" s="1"/>
  <c r="AI45" i="2" s="1"/>
  <c r="Y38" i="2"/>
  <c r="AH41" i="2"/>
  <c r="AF35" i="2"/>
  <c r="AG35" i="2" s="1"/>
  <c r="AI35" i="2" s="1"/>
  <c r="AF46" i="2"/>
  <c r="AF42" i="2"/>
  <c r="I48" i="2"/>
  <c r="K48" i="2" s="1"/>
  <c r="B46" i="2"/>
  <c r="C37" i="2"/>
  <c r="E37" i="2" s="1"/>
  <c r="D41" i="2"/>
  <c r="F41" i="2" s="1"/>
  <c r="G41" i="2" s="1"/>
  <c r="B45" i="2"/>
  <c r="D45" i="2" s="1"/>
  <c r="F45" i="2" s="1"/>
  <c r="B43" i="2"/>
  <c r="N46" i="2"/>
  <c r="P46" i="2" s="1"/>
  <c r="R46" i="2" s="1"/>
  <c r="C36" i="2"/>
  <c r="E36" i="2" s="1"/>
  <c r="G36" i="2" s="1"/>
  <c r="D38" i="2"/>
  <c r="F38" i="2" s="1"/>
  <c r="G38" i="2" s="1"/>
  <c r="U46" i="2"/>
  <c r="W46" i="2" s="1"/>
  <c r="Y46" i="2" s="1"/>
  <c r="U35" i="2"/>
  <c r="W35" i="2" s="1"/>
  <c r="V37" i="2"/>
  <c r="X37" i="2" s="1"/>
  <c r="Y37" i="2" s="1"/>
  <c r="B44" i="2"/>
  <c r="Y34" i="2"/>
  <c r="O38" i="2"/>
  <c r="Q38" i="2" s="1"/>
  <c r="P38" i="2"/>
  <c r="R38" i="2" s="1"/>
  <c r="O46" i="2"/>
  <c r="Q46" i="2" s="1"/>
  <c r="O41" i="2"/>
  <c r="Q41" i="2" s="1"/>
  <c r="Y39" i="2"/>
  <c r="AG48" i="2"/>
  <c r="AI48" i="2" s="1"/>
  <c r="AH48" i="2"/>
  <c r="AJ48" i="2" s="1"/>
  <c r="N43" i="2"/>
  <c r="N45" i="2"/>
  <c r="N36" i="2"/>
  <c r="AF49" i="2"/>
  <c r="N44" i="2"/>
  <c r="N42" i="2"/>
  <c r="N35" i="2"/>
  <c r="O49" i="2"/>
  <c r="Q49" i="2" s="1"/>
  <c r="S49" i="2" s="1"/>
  <c r="J41" i="6"/>
  <c r="L41" i="6" s="1"/>
  <c r="Z45" i="6"/>
  <c r="Z42" i="2"/>
  <c r="AB42" i="2" s="1"/>
  <c r="AD42" i="2" s="1"/>
  <c r="H43" i="2"/>
  <c r="I43" i="2" s="1"/>
  <c r="K43" i="2" s="1"/>
  <c r="J5" i="2"/>
  <c r="B5" i="2" s="1"/>
  <c r="C5" i="2" s="1"/>
  <c r="J6" i="2"/>
  <c r="B6" i="2" s="1"/>
  <c r="C6" i="2" s="1"/>
  <c r="H2" i="2"/>
  <c r="Y37" i="6"/>
  <c r="S42" i="6"/>
  <c r="S37" i="2"/>
  <c r="G35" i="6"/>
  <c r="AB5" i="6"/>
  <c r="T5" i="6" s="1"/>
  <c r="U5" i="6" s="1"/>
  <c r="J4" i="2"/>
  <c r="B4" i="2" s="1"/>
  <c r="C4" i="2" s="1"/>
  <c r="G34" i="2"/>
  <c r="I41" i="2"/>
  <c r="K41" i="2" s="1"/>
  <c r="J48" i="6"/>
  <c r="L48" i="6" s="1"/>
  <c r="Y49" i="6"/>
  <c r="J4" i="6"/>
  <c r="B4" i="6" s="1"/>
  <c r="C4" i="6" s="1"/>
  <c r="H49" i="6"/>
  <c r="J7" i="2"/>
  <c r="B7" i="2" s="1"/>
  <c r="C7" i="2" s="1"/>
  <c r="Y42" i="2"/>
  <c r="Y36" i="2"/>
  <c r="J11" i="2"/>
  <c r="B11" i="2" s="1"/>
  <c r="C11" i="2" s="1"/>
  <c r="J3" i="6"/>
  <c r="B3" i="6" s="1"/>
  <c r="C3" i="6" s="1"/>
  <c r="J15" i="2"/>
  <c r="B15" i="2" s="1"/>
  <c r="C15" i="2" s="1"/>
  <c r="AA9" i="2"/>
  <c r="Y48" i="6"/>
  <c r="J13" i="6"/>
  <c r="B13" i="6" s="1"/>
  <c r="C13" i="6" s="1"/>
  <c r="AB12" i="2"/>
  <c r="T12" i="2" s="1"/>
  <c r="U12" i="2" s="1"/>
  <c r="AB10" i="2"/>
  <c r="T10" i="2" s="1"/>
  <c r="U10" i="2" s="1"/>
  <c r="J8" i="6"/>
  <c r="B8" i="6" s="1"/>
  <c r="C8" i="6" s="1"/>
  <c r="AB7" i="6"/>
  <c r="T7" i="6" s="1"/>
  <c r="U7" i="6" s="1"/>
  <c r="AB3" i="2"/>
  <c r="T3" i="2" s="1"/>
  <c r="Y42" i="6"/>
  <c r="AB8" i="2"/>
  <c r="T8" i="2" s="1"/>
  <c r="U8" i="2" s="1"/>
  <c r="G41" i="6"/>
  <c r="J13" i="2"/>
  <c r="B13" i="2" s="1"/>
  <c r="C13" i="2" s="1"/>
  <c r="I9" i="2"/>
  <c r="J12" i="2"/>
  <c r="B12" i="2" s="1"/>
  <c r="C12" i="2" s="1"/>
  <c r="Y45" i="2"/>
  <c r="Z37" i="6"/>
  <c r="Z35" i="6"/>
  <c r="Z36" i="6"/>
  <c r="AB34" i="6"/>
  <c r="AD34" i="6" s="1"/>
  <c r="AA34" i="6"/>
  <c r="AC34" i="6" s="1"/>
  <c r="Z39" i="6"/>
  <c r="Z38" i="6"/>
  <c r="Y44" i="2"/>
  <c r="AB7" i="2"/>
  <c r="T7" i="2" s="1"/>
  <c r="U7" i="2" s="1"/>
  <c r="AB14" i="2"/>
  <c r="T14" i="2" s="1"/>
  <c r="U14" i="2" s="1"/>
  <c r="I2" i="2"/>
  <c r="S34" i="2"/>
  <c r="AB3" i="6"/>
  <c r="T3" i="6" s="1"/>
  <c r="U3" i="6" s="1"/>
  <c r="AA9" i="6"/>
  <c r="G48" i="2"/>
  <c r="AB17" i="2"/>
  <c r="Y48" i="2"/>
  <c r="AB4" i="6"/>
  <c r="T4" i="6" s="1"/>
  <c r="U4" i="6" s="1"/>
  <c r="V8" i="2"/>
  <c r="H9" i="6"/>
  <c r="J11" i="6"/>
  <c r="B11" i="6" s="1"/>
  <c r="C11" i="6" s="1"/>
  <c r="AB4" i="2"/>
  <c r="T4" i="2" s="1"/>
  <c r="U4" i="2" s="1"/>
  <c r="AA2" i="2"/>
  <c r="I2" i="6"/>
  <c r="AB12" i="6"/>
  <c r="T12" i="6" s="1"/>
  <c r="U12" i="6" s="1"/>
  <c r="V5" i="6"/>
  <c r="J48" i="2"/>
  <c r="L48" i="2" s="1"/>
  <c r="V4" i="6"/>
  <c r="AB5" i="2"/>
  <c r="T5" i="2" s="1"/>
  <c r="U5" i="2" s="1"/>
  <c r="Z49" i="2"/>
  <c r="G48" i="6"/>
  <c r="G34" i="6"/>
  <c r="F33" i="6"/>
  <c r="V4" i="2"/>
  <c r="J15" i="6"/>
  <c r="B15" i="6" s="1"/>
  <c r="C15" i="6" s="1"/>
  <c r="D15" i="6"/>
  <c r="AB14" i="6"/>
  <c r="T14" i="6" s="1"/>
  <c r="U14" i="6" s="1"/>
  <c r="V14" i="6"/>
  <c r="D14" i="2"/>
  <c r="J14" i="2"/>
  <c r="B14" i="2" s="1"/>
  <c r="C14" i="2" s="1"/>
  <c r="D14" i="6"/>
  <c r="J14" i="6"/>
  <c r="B14" i="6" s="1"/>
  <c r="C14" i="6" s="1"/>
  <c r="H9" i="2"/>
  <c r="J7" i="6"/>
  <c r="B7" i="6" s="1"/>
  <c r="C7" i="6" s="1"/>
  <c r="D7" i="6"/>
  <c r="J17" i="2"/>
  <c r="D17" i="2"/>
  <c r="D16" i="2" s="1"/>
  <c r="J10" i="2"/>
  <c r="J8" i="2"/>
  <c r="B8" i="2" s="1"/>
  <c r="C8" i="2" s="1"/>
  <c r="J3" i="2"/>
  <c r="D3" i="2"/>
  <c r="D2" i="2" s="1"/>
  <c r="AB11" i="2"/>
  <c r="T11" i="2" s="1"/>
  <c r="U11" i="2" s="1"/>
  <c r="V10" i="6"/>
  <c r="V9" i="6" s="1"/>
  <c r="Z9" i="6"/>
  <c r="AB10" i="6"/>
  <c r="T10" i="6" s="1"/>
  <c r="U10" i="6" s="1"/>
  <c r="J17" i="6"/>
  <c r="J16" i="6" s="1"/>
  <c r="AB15" i="2"/>
  <c r="T15" i="2" s="1"/>
  <c r="U15" i="2" s="1"/>
  <c r="V13" i="6"/>
  <c r="AJ40" i="6"/>
  <c r="G43" i="6"/>
  <c r="AB11" i="6"/>
  <c r="T11" i="6" s="1"/>
  <c r="U11" i="6" s="1"/>
  <c r="V5" i="2"/>
  <c r="V17" i="2"/>
  <c r="V16" i="2" s="1"/>
  <c r="Z49" i="6"/>
  <c r="J12" i="6"/>
  <c r="B12" i="6" s="1"/>
  <c r="C12" i="6" s="1"/>
  <c r="AB8" i="6"/>
  <c r="T8" i="6" s="1"/>
  <c r="U8" i="6" s="1"/>
  <c r="V17" i="6"/>
  <c r="V16" i="6" s="1"/>
  <c r="Z9" i="2"/>
  <c r="X40" i="6"/>
  <c r="V6" i="6"/>
  <c r="AK43" i="6"/>
  <c r="Y45" i="6"/>
  <c r="I9" i="6"/>
  <c r="Y39" i="6"/>
  <c r="AA2" i="6"/>
  <c r="AB7" i="14"/>
  <c r="T7" i="14" s="1"/>
  <c r="AA9" i="14"/>
  <c r="C4" i="14"/>
  <c r="D4" i="14" s="1"/>
  <c r="B14" i="14"/>
  <c r="I9" i="14"/>
  <c r="I2" i="14"/>
  <c r="C3" i="14"/>
  <c r="D3" i="14" s="1"/>
  <c r="D2" i="14" s="1"/>
  <c r="C15" i="14"/>
  <c r="D15" i="14" s="1"/>
  <c r="C7" i="14"/>
  <c r="D7" i="14" s="1"/>
  <c r="U18" i="14"/>
  <c r="V18" i="14" s="1"/>
  <c r="AA2" i="14"/>
  <c r="U4" i="14"/>
  <c r="V4" i="14" s="1"/>
  <c r="AB13" i="14"/>
  <c r="T13" i="14" s="1"/>
  <c r="J13" i="14"/>
  <c r="B13" i="14" s="1"/>
  <c r="D17" i="14"/>
  <c r="U5" i="14"/>
  <c r="V5" i="14" s="1"/>
  <c r="AB12" i="14"/>
  <c r="T12" i="14" s="1"/>
  <c r="U15" i="14"/>
  <c r="V15" i="14" s="1"/>
  <c r="B10" i="14"/>
  <c r="C18" i="14"/>
  <c r="D18" i="14" s="1"/>
  <c r="U14" i="14"/>
  <c r="V14" i="14" s="1"/>
  <c r="B17" i="14"/>
  <c r="T10" i="14"/>
  <c r="C5" i="14"/>
  <c r="U10" i="14"/>
  <c r="C11" i="14"/>
  <c r="D11" i="14" s="1"/>
  <c r="K2" i="21"/>
  <c r="J2" i="21"/>
  <c r="I2" i="21"/>
  <c r="I9" i="21"/>
  <c r="J9" i="21"/>
  <c r="K9" i="21"/>
  <c r="J16" i="21"/>
  <c r="I16" i="21"/>
  <c r="K16" i="21"/>
  <c r="D2" i="21"/>
  <c r="F2" i="21"/>
  <c r="E2" i="21"/>
  <c r="D9" i="21"/>
  <c r="B17" i="21"/>
  <c r="B16" i="21" s="1"/>
  <c r="F9" i="21"/>
  <c r="C2" i="21"/>
  <c r="C5" i="6"/>
  <c r="S33" i="16" l="1"/>
  <c r="AK33" i="16"/>
  <c r="Y33" i="16"/>
  <c r="AC33" i="3"/>
  <c r="W47" i="13"/>
  <c r="Y52" i="13"/>
  <c r="Y47" i="13" s="1"/>
  <c r="Y40" i="14"/>
  <c r="AI33" i="3"/>
  <c r="W40" i="3"/>
  <c r="W47" i="3"/>
  <c r="AE47" i="16"/>
  <c r="Y40" i="16"/>
  <c r="AK40" i="16"/>
  <c r="AK47" i="16"/>
  <c r="Y40" i="3"/>
  <c r="AC47" i="3"/>
  <c r="Y33" i="3"/>
  <c r="AK33" i="13"/>
  <c r="Q47" i="13"/>
  <c r="Q33" i="13"/>
  <c r="AC47" i="13"/>
  <c r="S33" i="14"/>
  <c r="S35" i="3"/>
  <c r="AK45" i="13"/>
  <c r="AK40" i="13" s="1"/>
  <c r="AK40" i="3"/>
  <c r="M33" i="3"/>
  <c r="M40" i="14"/>
  <c r="Y47" i="16"/>
  <c r="AE40" i="16"/>
  <c r="M40" i="16"/>
  <c r="M47" i="16"/>
  <c r="G47" i="14"/>
  <c r="Q47" i="3"/>
  <c r="G47" i="13"/>
  <c r="S50" i="13"/>
  <c r="S47" i="13" s="1"/>
  <c r="R33" i="13"/>
  <c r="AI47" i="13"/>
  <c r="S33" i="3"/>
  <c r="Q33" i="3"/>
  <c r="AI47" i="3"/>
  <c r="AK33" i="3"/>
  <c r="S43" i="3"/>
  <c r="S40" i="3" s="1"/>
  <c r="AK47" i="14"/>
  <c r="S47" i="16"/>
  <c r="AE33" i="14"/>
  <c r="AE47" i="14"/>
  <c r="K47" i="3"/>
  <c r="M53" i="3"/>
  <c r="M47" i="3" s="1"/>
  <c r="M45" i="3"/>
  <c r="M40" i="3" s="1"/>
  <c r="AE35" i="3"/>
  <c r="AE43" i="3"/>
  <c r="AE40" i="3" s="1"/>
  <c r="K47" i="13"/>
  <c r="AC33" i="13"/>
  <c r="AE36" i="3"/>
  <c r="AE59" i="3"/>
  <c r="AE47" i="3" s="1"/>
  <c r="K40" i="3"/>
  <c r="AE55" i="13"/>
  <c r="AE47" i="13" s="1"/>
  <c r="G33" i="13"/>
  <c r="M45" i="13"/>
  <c r="M40" i="13" s="1"/>
  <c r="S33" i="13"/>
  <c r="AE33" i="13"/>
  <c r="AE33" i="16"/>
  <c r="G47" i="16"/>
  <c r="M47" i="14"/>
  <c r="G33" i="14"/>
  <c r="S47" i="14"/>
  <c r="Y47" i="14"/>
  <c r="AK34" i="6"/>
  <c r="AG44" i="6"/>
  <c r="AI44" i="6" s="1"/>
  <c r="AK44" i="6" s="1"/>
  <c r="AG45" i="6"/>
  <c r="AI45" i="6" s="1"/>
  <c r="Q40" i="6"/>
  <c r="R47" i="6"/>
  <c r="S48" i="6"/>
  <c r="O49" i="6"/>
  <c r="Q49" i="6" s="1"/>
  <c r="Q47" i="6" s="1"/>
  <c r="F40" i="6"/>
  <c r="P37" i="6"/>
  <c r="R37" i="6" s="1"/>
  <c r="S37" i="6" s="1"/>
  <c r="G47" i="3"/>
  <c r="AK47" i="3"/>
  <c r="S47" i="3"/>
  <c r="Y47" i="3"/>
  <c r="AK47" i="13"/>
  <c r="M47" i="13"/>
  <c r="B11" i="13"/>
  <c r="B9" i="13" s="1"/>
  <c r="C18" i="13"/>
  <c r="D18" i="13" s="1"/>
  <c r="C5" i="13"/>
  <c r="D5" i="13" s="1"/>
  <c r="B5" i="13"/>
  <c r="B2" i="13" s="1"/>
  <c r="J9" i="13"/>
  <c r="U17" i="13"/>
  <c r="V17" i="13" s="1"/>
  <c r="C15" i="13"/>
  <c r="D15" i="13" s="1"/>
  <c r="T2" i="13"/>
  <c r="W2" i="13" s="1"/>
  <c r="AB2" i="13"/>
  <c r="U8" i="13"/>
  <c r="C17" i="13"/>
  <c r="D17" i="13" s="1"/>
  <c r="U12" i="13"/>
  <c r="V12" i="13" s="1"/>
  <c r="B5" i="3"/>
  <c r="C7" i="3"/>
  <c r="D7" i="3" s="1"/>
  <c r="U8" i="3"/>
  <c r="V8" i="3" s="1"/>
  <c r="T4" i="3"/>
  <c r="T2" i="3" s="1"/>
  <c r="C4" i="3"/>
  <c r="D4" i="3" s="1"/>
  <c r="J2" i="3"/>
  <c r="B18" i="3"/>
  <c r="T12" i="3"/>
  <c r="T9" i="3" s="1"/>
  <c r="U15" i="3"/>
  <c r="V15" i="3" s="1"/>
  <c r="C12" i="3"/>
  <c r="D12" i="3" s="1"/>
  <c r="U7" i="3"/>
  <c r="V7" i="3" s="1"/>
  <c r="J9" i="3"/>
  <c r="AB2" i="3"/>
  <c r="B11" i="3"/>
  <c r="T10" i="3"/>
  <c r="AB9" i="3"/>
  <c r="B9" i="3"/>
  <c r="F9" i="3" s="1"/>
  <c r="U2" i="3"/>
  <c r="V10" i="3"/>
  <c r="V9" i="3" s="1"/>
  <c r="U9" i="3"/>
  <c r="B2" i="3"/>
  <c r="D10" i="3"/>
  <c r="D9" i="3" s="1"/>
  <c r="C9" i="3"/>
  <c r="D3" i="3"/>
  <c r="D2" i="3" s="1"/>
  <c r="U6" i="14"/>
  <c r="V6" i="14" s="1"/>
  <c r="U17" i="14"/>
  <c r="V17" i="14" s="1"/>
  <c r="C12" i="14"/>
  <c r="D12" i="14" s="1"/>
  <c r="C6" i="14"/>
  <c r="D6" i="14" s="1"/>
  <c r="U8" i="14"/>
  <c r="V8" i="14" s="1"/>
  <c r="AB2" i="14"/>
  <c r="U3" i="14"/>
  <c r="V3" i="14" s="1"/>
  <c r="V2" i="14" s="1"/>
  <c r="J2" i="14"/>
  <c r="U11" i="14"/>
  <c r="V11" i="14" s="1"/>
  <c r="B2" i="14"/>
  <c r="F2" i="14" s="1"/>
  <c r="C8" i="14"/>
  <c r="D8" i="14" s="1"/>
  <c r="J9" i="14"/>
  <c r="C13" i="16"/>
  <c r="D13" i="16" s="1"/>
  <c r="B12" i="16"/>
  <c r="C14" i="16"/>
  <c r="D14" i="16" s="1"/>
  <c r="C11" i="16"/>
  <c r="D11" i="16" s="1"/>
  <c r="C7" i="16"/>
  <c r="D7" i="16" s="1"/>
  <c r="C6" i="16"/>
  <c r="D6" i="16" s="1"/>
  <c r="U14" i="16"/>
  <c r="V14" i="16" s="1"/>
  <c r="J9" i="16"/>
  <c r="AB9" i="16"/>
  <c r="U5" i="16"/>
  <c r="V5" i="16" s="1"/>
  <c r="AB2" i="16"/>
  <c r="U4" i="16"/>
  <c r="V4" i="16" s="1"/>
  <c r="T9" i="16"/>
  <c r="X9" i="16" s="1"/>
  <c r="U11" i="16"/>
  <c r="V11" i="16" s="1"/>
  <c r="U12" i="16"/>
  <c r="V12" i="16" s="1"/>
  <c r="U8" i="16"/>
  <c r="V8" i="16" s="1"/>
  <c r="U13" i="16"/>
  <c r="V13" i="16" s="1"/>
  <c r="T2" i="16"/>
  <c r="X2" i="16" s="1"/>
  <c r="U10" i="16"/>
  <c r="V10" i="16" s="1"/>
  <c r="V9" i="16" s="1"/>
  <c r="D10" i="16"/>
  <c r="D9" i="16" s="1"/>
  <c r="B9" i="16"/>
  <c r="V3" i="16"/>
  <c r="V2" i="16" s="1"/>
  <c r="B2" i="16"/>
  <c r="C5" i="16"/>
  <c r="J2" i="16"/>
  <c r="D16" i="23"/>
  <c r="C44" i="23"/>
  <c r="K42" i="23"/>
  <c r="L44" i="23"/>
  <c r="M44" i="23" s="1"/>
  <c r="L45" i="23"/>
  <c r="M45" i="23" s="1"/>
  <c r="M41" i="23"/>
  <c r="L42" i="23"/>
  <c r="M42" i="23" s="1"/>
  <c r="L43" i="23"/>
  <c r="M43" i="23" s="1"/>
  <c r="L46" i="23"/>
  <c r="M46" i="23" s="1"/>
  <c r="K46" i="23"/>
  <c r="J46" i="23"/>
  <c r="E2" i="23"/>
  <c r="K43" i="23"/>
  <c r="J43" i="23"/>
  <c r="N44" i="23"/>
  <c r="O44" i="23" s="1"/>
  <c r="N43" i="23"/>
  <c r="O43" i="23" s="1"/>
  <c r="N46" i="23"/>
  <c r="O46" i="23" s="1"/>
  <c r="N42" i="23"/>
  <c r="O42" i="23" s="1"/>
  <c r="N45" i="23"/>
  <c r="O45" i="23" s="1"/>
  <c r="O41" i="23"/>
  <c r="E43" i="23"/>
  <c r="F43" i="23" s="1"/>
  <c r="F41" i="23"/>
  <c r="E46" i="23"/>
  <c r="F46" i="23" s="1"/>
  <c r="E42" i="23"/>
  <c r="F42" i="23" s="1"/>
  <c r="E45" i="23"/>
  <c r="F45" i="23" s="1"/>
  <c r="E44" i="23"/>
  <c r="F44" i="23" s="1"/>
  <c r="D46" i="23"/>
  <c r="C46" i="23"/>
  <c r="E9" i="23"/>
  <c r="D9" i="23"/>
  <c r="F9" i="23"/>
  <c r="D42" i="23"/>
  <c r="C42" i="23"/>
  <c r="K2" i="23"/>
  <c r="M2" i="23"/>
  <c r="L2" i="23"/>
  <c r="K44" i="23"/>
  <c r="J44" i="23"/>
  <c r="D43" i="23"/>
  <c r="C43" i="23"/>
  <c r="D45" i="23"/>
  <c r="C45" i="23"/>
  <c r="G46" i="22"/>
  <c r="H46" i="22" s="1"/>
  <c r="G43" i="22"/>
  <c r="H43" i="22" s="1"/>
  <c r="G42" i="22"/>
  <c r="H42" i="22" s="1"/>
  <c r="F41" i="22"/>
  <c r="E43" i="22"/>
  <c r="F43" i="22" s="1"/>
  <c r="G45" i="22"/>
  <c r="H45" i="22" s="1"/>
  <c r="E44" i="22"/>
  <c r="F44" i="22" s="1"/>
  <c r="D45" i="22"/>
  <c r="D46" i="22"/>
  <c r="O41" i="22"/>
  <c r="N46" i="22"/>
  <c r="O46" i="22" s="1"/>
  <c r="N45" i="22"/>
  <c r="O45" i="22" s="1"/>
  <c r="N44" i="22"/>
  <c r="O44" i="22" s="1"/>
  <c r="N43" i="22"/>
  <c r="O43" i="22" s="1"/>
  <c r="N42" i="22"/>
  <c r="O42" i="22" s="1"/>
  <c r="J43" i="22"/>
  <c r="K43" i="22"/>
  <c r="C43" i="22"/>
  <c r="D43" i="22"/>
  <c r="J42" i="22"/>
  <c r="K42" i="22"/>
  <c r="J44" i="22"/>
  <c r="K44" i="22"/>
  <c r="E9" i="22"/>
  <c r="D9" i="22"/>
  <c r="K45" i="22"/>
  <c r="J45" i="22"/>
  <c r="C44" i="22"/>
  <c r="D44" i="22"/>
  <c r="AH45" i="2"/>
  <c r="AJ45" i="2" s="1"/>
  <c r="AK45" i="2" s="1"/>
  <c r="AH35" i="2"/>
  <c r="AJ35" i="2" s="1"/>
  <c r="AB48" i="2"/>
  <c r="AD48" i="2" s="1"/>
  <c r="AA48" i="2"/>
  <c r="AC48" i="2" s="1"/>
  <c r="J43" i="2"/>
  <c r="L43" i="2" s="1"/>
  <c r="M43" i="2" s="1"/>
  <c r="P39" i="2"/>
  <c r="R39" i="2" s="1"/>
  <c r="S39" i="2" s="1"/>
  <c r="P41" i="2"/>
  <c r="R41" i="2" s="1"/>
  <c r="O51" i="2"/>
  <c r="Q51" i="2" s="1"/>
  <c r="P51" i="2"/>
  <c r="R51" i="2" s="1"/>
  <c r="M48" i="2"/>
  <c r="O50" i="2"/>
  <c r="Q50" i="2" s="1"/>
  <c r="P50" i="2"/>
  <c r="R50" i="2" s="1"/>
  <c r="S50" i="2" s="1"/>
  <c r="O53" i="2"/>
  <c r="Q53" i="2" s="1"/>
  <c r="P53" i="2"/>
  <c r="R53" i="2" s="1"/>
  <c r="S53" i="2" s="1"/>
  <c r="O55" i="2"/>
  <c r="Q55" i="2" s="1"/>
  <c r="P55" i="2"/>
  <c r="R55" i="2" s="1"/>
  <c r="S48" i="2"/>
  <c r="O60" i="2"/>
  <c r="Q60" i="2" s="1"/>
  <c r="P60" i="2"/>
  <c r="R60" i="2" s="1"/>
  <c r="O56" i="2"/>
  <c r="Q56" i="2" s="1"/>
  <c r="P56" i="2"/>
  <c r="R56" i="2" s="1"/>
  <c r="S56" i="2" s="1"/>
  <c r="H60" i="2"/>
  <c r="H55" i="2"/>
  <c r="H58" i="2"/>
  <c r="H57" i="2"/>
  <c r="H52" i="2"/>
  <c r="H54" i="2"/>
  <c r="H50" i="2"/>
  <c r="H56" i="2"/>
  <c r="H51" i="2"/>
  <c r="H53" i="2"/>
  <c r="H59" i="2"/>
  <c r="O57" i="2"/>
  <c r="Q57" i="2" s="1"/>
  <c r="P57" i="2"/>
  <c r="R57" i="2" s="1"/>
  <c r="G49" i="2"/>
  <c r="G47" i="2" s="1"/>
  <c r="O54" i="2"/>
  <c r="Q54" i="2" s="1"/>
  <c r="P54" i="2"/>
  <c r="R54" i="2" s="1"/>
  <c r="S54" i="2" s="1"/>
  <c r="O59" i="2"/>
  <c r="Q59" i="2" s="1"/>
  <c r="P59" i="2"/>
  <c r="R59" i="2" s="1"/>
  <c r="O58" i="2"/>
  <c r="Q58" i="2" s="1"/>
  <c r="S58" i="2" s="1"/>
  <c r="P58" i="2"/>
  <c r="R58" i="2" s="1"/>
  <c r="O52" i="2"/>
  <c r="Q52" i="2" s="1"/>
  <c r="P52" i="2"/>
  <c r="R52" i="2" s="1"/>
  <c r="H49" i="2"/>
  <c r="J49" i="2" s="1"/>
  <c r="L49" i="2" s="1"/>
  <c r="W33" i="6"/>
  <c r="I48" i="6"/>
  <c r="K48" i="6" s="1"/>
  <c r="M48" i="6" s="1"/>
  <c r="S49" i="6"/>
  <c r="AK35" i="2"/>
  <c r="X33" i="6"/>
  <c r="AA48" i="6"/>
  <c r="AC48" i="6" s="1"/>
  <c r="AB48" i="6"/>
  <c r="AD48" i="6" s="1"/>
  <c r="T17" i="6"/>
  <c r="AB16" i="6"/>
  <c r="T17" i="2"/>
  <c r="AB16" i="2"/>
  <c r="B9" i="14"/>
  <c r="G9" i="14" s="1"/>
  <c r="D10" i="13"/>
  <c r="D9" i="13" s="1"/>
  <c r="F34" i="22"/>
  <c r="E35" i="22"/>
  <c r="F35" i="22" s="1"/>
  <c r="E36" i="22"/>
  <c r="F36" i="22" s="1"/>
  <c r="E38" i="22"/>
  <c r="F38" i="22" s="1"/>
  <c r="E37" i="22"/>
  <c r="F37" i="22" s="1"/>
  <c r="E39" i="22"/>
  <c r="F39" i="22" s="1"/>
  <c r="L43" i="22"/>
  <c r="M43" i="22" s="1"/>
  <c r="L46" i="22"/>
  <c r="M46" i="22" s="1"/>
  <c r="L42" i="22"/>
  <c r="M42" i="22" s="1"/>
  <c r="L45" i="22"/>
  <c r="M45" i="22" s="1"/>
  <c r="M41" i="22"/>
  <c r="L44" i="22"/>
  <c r="M44" i="22" s="1"/>
  <c r="AB9" i="13"/>
  <c r="U10" i="13"/>
  <c r="T10" i="13"/>
  <c r="T9" i="13" s="1"/>
  <c r="D3" i="13"/>
  <c r="D2" i="13" s="1"/>
  <c r="X16" i="3"/>
  <c r="X16" i="16"/>
  <c r="X16" i="14"/>
  <c r="U18" i="3"/>
  <c r="V18" i="3" s="1"/>
  <c r="D17" i="16"/>
  <c r="U18" i="13"/>
  <c r="V18" i="13" s="1"/>
  <c r="V17" i="3"/>
  <c r="V16" i="3" s="1"/>
  <c r="W40" i="6"/>
  <c r="Y40" i="6" s="1"/>
  <c r="E33" i="6"/>
  <c r="G33" i="6" s="1"/>
  <c r="Z43" i="6"/>
  <c r="AB43" i="6" s="1"/>
  <c r="AD43" i="6" s="1"/>
  <c r="AI40" i="6"/>
  <c r="AK40" i="6" s="1"/>
  <c r="AK45" i="6"/>
  <c r="Z46" i="6"/>
  <c r="AA46" i="6" s="1"/>
  <c r="AC46" i="6" s="1"/>
  <c r="Z42" i="6"/>
  <c r="AA42" i="6" s="1"/>
  <c r="AC42" i="6" s="1"/>
  <c r="H46" i="6"/>
  <c r="I46" i="6" s="1"/>
  <c r="K46" i="6" s="1"/>
  <c r="P35" i="6"/>
  <c r="R35" i="6" s="1"/>
  <c r="S35" i="6" s="1"/>
  <c r="O38" i="6"/>
  <c r="Q38" i="6" s="1"/>
  <c r="S38" i="6" s="1"/>
  <c r="H42" i="6"/>
  <c r="I42" i="6" s="1"/>
  <c r="K42" i="6" s="1"/>
  <c r="O36" i="6"/>
  <c r="Q36" i="6" s="1"/>
  <c r="P36" i="6"/>
  <c r="R36" i="6" s="1"/>
  <c r="P39" i="6"/>
  <c r="R39" i="6" s="1"/>
  <c r="O39" i="6"/>
  <c r="Q39" i="6" s="1"/>
  <c r="AG36" i="6"/>
  <c r="AI36" i="6" s="1"/>
  <c r="AH36" i="6"/>
  <c r="AJ36" i="6" s="1"/>
  <c r="R40" i="6"/>
  <c r="S40" i="6" s="1"/>
  <c r="G37" i="6"/>
  <c r="Z44" i="6"/>
  <c r="E40" i="6"/>
  <c r="AK48" i="6"/>
  <c r="AH38" i="6"/>
  <c r="AJ38" i="6" s="1"/>
  <c r="AG38" i="6"/>
  <c r="AI38" i="6" s="1"/>
  <c r="H45" i="6"/>
  <c r="I45" i="6" s="1"/>
  <c r="K45" i="6" s="1"/>
  <c r="I41" i="6"/>
  <c r="K41" i="6" s="1"/>
  <c r="M41" i="6" s="1"/>
  <c r="H43" i="6"/>
  <c r="J43" i="6" s="1"/>
  <c r="L43" i="6" s="1"/>
  <c r="AK37" i="6"/>
  <c r="H44" i="6"/>
  <c r="J44" i="6" s="1"/>
  <c r="L44" i="6" s="1"/>
  <c r="AH49" i="6"/>
  <c r="AJ49" i="6" s="1"/>
  <c r="AJ47" i="6" s="1"/>
  <c r="AG49" i="6"/>
  <c r="AI49" i="6" s="1"/>
  <c r="AI47" i="6" s="1"/>
  <c r="Y35" i="2"/>
  <c r="Z45" i="2"/>
  <c r="AA45" i="2" s="1"/>
  <c r="AC45" i="2" s="1"/>
  <c r="AB41" i="2"/>
  <c r="AD41" i="2" s="1"/>
  <c r="Z44" i="2"/>
  <c r="AA44" i="2" s="1"/>
  <c r="AC44" i="2" s="1"/>
  <c r="AK48" i="2"/>
  <c r="C42" i="2"/>
  <c r="E42" i="2" s="1"/>
  <c r="G42" i="2" s="1"/>
  <c r="S46" i="2"/>
  <c r="AG44" i="2"/>
  <c r="AI44" i="2" s="1"/>
  <c r="AK44" i="2" s="1"/>
  <c r="AG36" i="2"/>
  <c r="AI36" i="2" s="1"/>
  <c r="AH39" i="2"/>
  <c r="AJ39" i="2" s="1"/>
  <c r="AG39" i="2"/>
  <c r="AI39" i="2" s="1"/>
  <c r="AH42" i="2"/>
  <c r="AJ42" i="2" s="1"/>
  <c r="AG42" i="2"/>
  <c r="AI42" i="2" s="1"/>
  <c r="AG38" i="2"/>
  <c r="AI38" i="2" s="1"/>
  <c r="AH38" i="2"/>
  <c r="AJ38" i="2" s="1"/>
  <c r="AH46" i="2"/>
  <c r="AJ46" i="2" s="1"/>
  <c r="AG46" i="2"/>
  <c r="AI46" i="2" s="1"/>
  <c r="S41" i="2"/>
  <c r="AH43" i="2"/>
  <c r="AJ43" i="2" s="1"/>
  <c r="AG43" i="2"/>
  <c r="AI43" i="2" s="1"/>
  <c r="C45" i="2"/>
  <c r="E45" i="2" s="1"/>
  <c r="G45" i="2" s="1"/>
  <c r="G37" i="2"/>
  <c r="D46" i="2"/>
  <c r="F46" i="2" s="1"/>
  <c r="C46" i="2"/>
  <c r="E46" i="2" s="1"/>
  <c r="H45" i="2"/>
  <c r="Z46" i="2"/>
  <c r="AA46" i="2" s="1"/>
  <c r="AC46" i="2" s="1"/>
  <c r="H46" i="2"/>
  <c r="J46" i="2" s="1"/>
  <c r="L46" i="2" s="1"/>
  <c r="C44" i="2"/>
  <c r="E44" i="2" s="1"/>
  <c r="D44" i="2"/>
  <c r="F44" i="2" s="1"/>
  <c r="Z43" i="2"/>
  <c r="AA43" i="2" s="1"/>
  <c r="AC43" i="2" s="1"/>
  <c r="J41" i="2"/>
  <c r="L41" i="2" s="1"/>
  <c r="M41" i="2" s="1"/>
  <c r="H44" i="2"/>
  <c r="I44" i="2" s="1"/>
  <c r="K44" i="2" s="1"/>
  <c r="AA42" i="2"/>
  <c r="AC42" i="2" s="1"/>
  <c r="AE42" i="2" s="1"/>
  <c r="D43" i="2"/>
  <c r="F43" i="2" s="1"/>
  <c r="C43" i="2"/>
  <c r="E43" i="2" s="1"/>
  <c r="AA41" i="2"/>
  <c r="AC41" i="2" s="1"/>
  <c r="H42" i="2"/>
  <c r="I42" i="2" s="1"/>
  <c r="K42" i="2" s="1"/>
  <c r="O45" i="2"/>
  <c r="Q45" i="2" s="1"/>
  <c r="P45" i="2"/>
  <c r="R45" i="2" s="1"/>
  <c r="P43" i="2"/>
  <c r="R43" i="2" s="1"/>
  <c r="O43" i="2"/>
  <c r="Q43" i="2" s="1"/>
  <c r="P35" i="2"/>
  <c r="R35" i="2" s="1"/>
  <c r="O35" i="2"/>
  <c r="Q35" i="2" s="1"/>
  <c r="P42" i="2"/>
  <c r="R42" i="2" s="1"/>
  <c r="O42" i="2"/>
  <c r="Q42" i="2" s="1"/>
  <c r="O44" i="2"/>
  <c r="Q44" i="2" s="1"/>
  <c r="P44" i="2"/>
  <c r="R44" i="2" s="1"/>
  <c r="AG49" i="2"/>
  <c r="AI49" i="2" s="1"/>
  <c r="AH49" i="2"/>
  <c r="AJ49" i="2" s="1"/>
  <c r="O36" i="2"/>
  <c r="Q36" i="2" s="1"/>
  <c r="P36" i="2"/>
  <c r="R36" i="2" s="1"/>
  <c r="S38" i="2"/>
  <c r="AA41" i="6"/>
  <c r="AC41" i="6" s="1"/>
  <c r="AB41" i="6"/>
  <c r="AD41" i="6" s="1"/>
  <c r="G40" i="6"/>
  <c r="C2" i="6"/>
  <c r="B2" i="6"/>
  <c r="E2" i="6" s="1"/>
  <c r="I49" i="6"/>
  <c r="K49" i="6" s="1"/>
  <c r="J49" i="6"/>
  <c r="L49" i="6" s="1"/>
  <c r="AB2" i="2"/>
  <c r="J2" i="6"/>
  <c r="J9" i="6"/>
  <c r="AE34" i="6"/>
  <c r="Z38" i="2"/>
  <c r="Z39" i="2"/>
  <c r="AB34" i="2"/>
  <c r="AD34" i="2" s="1"/>
  <c r="AA34" i="2"/>
  <c r="AC34" i="2" s="1"/>
  <c r="Z37" i="2"/>
  <c r="Z36" i="2"/>
  <c r="Z35" i="2"/>
  <c r="H38" i="6"/>
  <c r="H35" i="6"/>
  <c r="H36" i="6"/>
  <c r="H39" i="6"/>
  <c r="I34" i="6"/>
  <c r="K34" i="6" s="1"/>
  <c r="H37" i="6"/>
  <c r="J34" i="6"/>
  <c r="L34" i="6" s="1"/>
  <c r="AA38" i="6"/>
  <c r="AC38" i="6" s="1"/>
  <c r="AB38" i="6"/>
  <c r="AD38" i="6" s="1"/>
  <c r="AB39" i="6"/>
  <c r="AD39" i="6" s="1"/>
  <c r="AA39" i="6"/>
  <c r="AC39" i="6" s="1"/>
  <c r="J34" i="2"/>
  <c r="L34" i="2" s="1"/>
  <c r="H35" i="2"/>
  <c r="H36" i="2"/>
  <c r="H39" i="2"/>
  <c r="I34" i="2"/>
  <c r="K34" i="2" s="1"/>
  <c r="H38" i="2"/>
  <c r="H37" i="2"/>
  <c r="AB36" i="6"/>
  <c r="AD36" i="6" s="1"/>
  <c r="AA36" i="6"/>
  <c r="AC36" i="6" s="1"/>
  <c r="AB35" i="6"/>
  <c r="AD35" i="6" s="1"/>
  <c r="AA35" i="6"/>
  <c r="AC35" i="6" s="1"/>
  <c r="AB37" i="6"/>
  <c r="AD37" i="6" s="1"/>
  <c r="AA37" i="6"/>
  <c r="AC37" i="6" s="1"/>
  <c r="U3" i="2"/>
  <c r="U2" i="2" s="1"/>
  <c r="T2" i="2"/>
  <c r="B3" i="2"/>
  <c r="J2" i="2"/>
  <c r="B17" i="2"/>
  <c r="AB9" i="2"/>
  <c r="AA45" i="6"/>
  <c r="AC45" i="6" s="1"/>
  <c r="AB45" i="6"/>
  <c r="AD45" i="6" s="1"/>
  <c r="U9" i="6"/>
  <c r="AB2" i="6"/>
  <c r="J42" i="6"/>
  <c r="L42" i="6" s="1"/>
  <c r="B17" i="6"/>
  <c r="Y33" i="6"/>
  <c r="AB49" i="6"/>
  <c r="AD49" i="6" s="1"/>
  <c r="AA49" i="6"/>
  <c r="AC49" i="6" s="1"/>
  <c r="B10" i="2"/>
  <c r="J9" i="2"/>
  <c r="AB9" i="6"/>
  <c r="T9" i="2"/>
  <c r="T9" i="6"/>
  <c r="X9" i="6" s="1"/>
  <c r="AB49" i="2"/>
  <c r="AD49" i="2" s="1"/>
  <c r="AA49" i="2"/>
  <c r="AC49" i="2" s="1"/>
  <c r="U9" i="2"/>
  <c r="C10" i="6"/>
  <c r="C9" i="6" s="1"/>
  <c r="B9" i="6"/>
  <c r="T2" i="6"/>
  <c r="U2" i="6"/>
  <c r="U7" i="14"/>
  <c r="V7" i="14" s="1"/>
  <c r="U13" i="14"/>
  <c r="V13" i="14" s="1"/>
  <c r="T2" i="14"/>
  <c r="W2" i="14" s="1"/>
  <c r="C13" i="14"/>
  <c r="D13" i="14" s="1"/>
  <c r="G2" i="14"/>
  <c r="C9" i="14"/>
  <c r="U12" i="14"/>
  <c r="V12" i="14" s="1"/>
  <c r="AB9" i="14"/>
  <c r="V10" i="14"/>
  <c r="V9" i="14" s="1"/>
  <c r="T9" i="14"/>
  <c r="D5" i="14"/>
  <c r="E16" i="21"/>
  <c r="F16" i="21"/>
  <c r="D16" i="21"/>
  <c r="AE33" i="3" l="1"/>
  <c r="S47" i="6"/>
  <c r="AE48" i="6"/>
  <c r="J46" i="6"/>
  <c r="L46" i="6" s="1"/>
  <c r="M46" i="6" s="1"/>
  <c r="W16" i="3"/>
  <c r="C9" i="13"/>
  <c r="E2" i="13"/>
  <c r="G2" i="13"/>
  <c r="F2" i="13"/>
  <c r="C2" i="13"/>
  <c r="X2" i="13"/>
  <c r="Y2" i="13"/>
  <c r="X16" i="13"/>
  <c r="V8" i="13"/>
  <c r="U2" i="13"/>
  <c r="C2" i="3"/>
  <c r="W2" i="3"/>
  <c r="X2" i="3"/>
  <c r="Y2" i="3"/>
  <c r="G9" i="3"/>
  <c r="E9" i="3"/>
  <c r="G2" i="3"/>
  <c r="E2" i="3"/>
  <c r="F2" i="3"/>
  <c r="Y9" i="3"/>
  <c r="X9" i="3"/>
  <c r="W9" i="3"/>
  <c r="Y16" i="3"/>
  <c r="C2" i="14"/>
  <c r="E2" i="14"/>
  <c r="G16" i="14"/>
  <c r="W16" i="14"/>
  <c r="Y16" i="14"/>
  <c r="F9" i="14"/>
  <c r="E9" i="14"/>
  <c r="C9" i="16"/>
  <c r="W16" i="16"/>
  <c r="Y16" i="16"/>
  <c r="Y9" i="16"/>
  <c r="W9" i="16"/>
  <c r="U2" i="16"/>
  <c r="W2" i="16"/>
  <c r="U9" i="16"/>
  <c r="Y2" i="16"/>
  <c r="E16" i="16"/>
  <c r="F16" i="16"/>
  <c r="G16" i="16"/>
  <c r="E2" i="16"/>
  <c r="F2" i="16"/>
  <c r="G2" i="16"/>
  <c r="D5" i="16"/>
  <c r="C2" i="16"/>
  <c r="E9" i="16"/>
  <c r="G9" i="16"/>
  <c r="F9" i="16"/>
  <c r="AE48" i="2"/>
  <c r="S57" i="2"/>
  <c r="S52" i="2"/>
  <c r="S55" i="2"/>
  <c r="S59" i="2"/>
  <c r="I54" i="2"/>
  <c r="K54" i="2" s="1"/>
  <c r="J54" i="2"/>
  <c r="L54" i="2" s="1"/>
  <c r="I58" i="2"/>
  <c r="K58" i="2" s="1"/>
  <c r="J58" i="2"/>
  <c r="L58" i="2" s="1"/>
  <c r="I57" i="2"/>
  <c r="K57" i="2" s="1"/>
  <c r="J57" i="2"/>
  <c r="L57" i="2" s="1"/>
  <c r="I60" i="2"/>
  <c r="K60" i="2" s="1"/>
  <c r="J60" i="2"/>
  <c r="L60" i="2" s="1"/>
  <c r="I59" i="2"/>
  <c r="K59" i="2" s="1"/>
  <c r="J59" i="2"/>
  <c r="L59" i="2" s="1"/>
  <c r="I55" i="2"/>
  <c r="K55" i="2" s="1"/>
  <c r="J55" i="2"/>
  <c r="L55" i="2" s="1"/>
  <c r="I53" i="2"/>
  <c r="K53" i="2" s="1"/>
  <c r="J53" i="2"/>
  <c r="L53" i="2" s="1"/>
  <c r="S60" i="2"/>
  <c r="I51" i="2"/>
  <c r="K51" i="2" s="1"/>
  <c r="J51" i="2"/>
  <c r="L51" i="2" s="1"/>
  <c r="I56" i="2"/>
  <c r="K56" i="2" s="1"/>
  <c r="J56" i="2"/>
  <c r="L56" i="2" s="1"/>
  <c r="M56" i="2" s="1"/>
  <c r="S51" i="2"/>
  <c r="I52" i="2"/>
  <c r="K52" i="2" s="1"/>
  <c r="J52" i="2"/>
  <c r="L52" i="2" s="1"/>
  <c r="I50" i="2"/>
  <c r="K50" i="2" s="1"/>
  <c r="J50" i="2"/>
  <c r="L50" i="2" s="1"/>
  <c r="I49" i="2"/>
  <c r="K49" i="2" s="1"/>
  <c r="AA43" i="6"/>
  <c r="AC43" i="6" s="1"/>
  <c r="AE43" i="6" s="1"/>
  <c r="U17" i="2"/>
  <c r="U16" i="2" s="1"/>
  <c r="U17" i="6"/>
  <c r="U16" i="6" s="1"/>
  <c r="T16" i="6"/>
  <c r="X16" i="6" s="1"/>
  <c r="G46" i="2"/>
  <c r="U2" i="14"/>
  <c r="X9" i="13"/>
  <c r="W9" i="13"/>
  <c r="Y9" i="13"/>
  <c r="E9" i="13"/>
  <c r="G9" i="13"/>
  <c r="F9" i="13"/>
  <c r="U9" i="13"/>
  <c r="V10" i="13"/>
  <c r="V9" i="13" s="1"/>
  <c r="E16" i="3"/>
  <c r="G16" i="3"/>
  <c r="F16" i="3"/>
  <c r="AB46" i="6"/>
  <c r="AD46" i="6" s="1"/>
  <c r="AE46" i="6" s="1"/>
  <c r="R33" i="6"/>
  <c r="Q33" i="6"/>
  <c r="S33" i="6" s="1"/>
  <c r="I43" i="6"/>
  <c r="K43" i="6" s="1"/>
  <c r="AK38" i="6"/>
  <c r="AB42" i="6"/>
  <c r="AD42" i="6" s="1"/>
  <c r="AE42" i="6" s="1"/>
  <c r="S39" i="6"/>
  <c r="S36" i="6"/>
  <c r="I44" i="6"/>
  <c r="K44" i="6" s="1"/>
  <c r="AJ33" i="6"/>
  <c r="AI33" i="6"/>
  <c r="AK36" i="6"/>
  <c r="G2" i="6"/>
  <c r="AA44" i="6"/>
  <c r="AC44" i="6" s="1"/>
  <c r="AB44" i="6"/>
  <c r="AD44" i="6" s="1"/>
  <c r="J45" i="6"/>
  <c r="L45" i="6" s="1"/>
  <c r="AE37" i="6"/>
  <c r="AK49" i="6"/>
  <c r="AK47" i="6" s="1"/>
  <c r="F2" i="6"/>
  <c r="AE41" i="6"/>
  <c r="E16" i="13"/>
  <c r="F16" i="13"/>
  <c r="G16" i="13"/>
  <c r="J44" i="2"/>
  <c r="L44" i="2" s="1"/>
  <c r="M44" i="2" s="1"/>
  <c r="AB43" i="2"/>
  <c r="AD43" i="2" s="1"/>
  <c r="AE43" i="2" s="1"/>
  <c r="AB45" i="2"/>
  <c r="AD45" i="2" s="1"/>
  <c r="AE45" i="2" s="1"/>
  <c r="S43" i="2"/>
  <c r="S45" i="2"/>
  <c r="AB44" i="2"/>
  <c r="AD44" i="2" s="1"/>
  <c r="AE44" i="2" s="1"/>
  <c r="AE41" i="2"/>
  <c r="AK38" i="2"/>
  <c r="G43" i="2"/>
  <c r="AK46" i="2"/>
  <c r="AK36" i="2"/>
  <c r="J42" i="2"/>
  <c r="L42" i="2" s="1"/>
  <c r="M42" i="2" s="1"/>
  <c r="AK42" i="2"/>
  <c r="AK43" i="2"/>
  <c r="AK39" i="2"/>
  <c r="I46" i="2"/>
  <c r="K46" i="2" s="1"/>
  <c r="M46" i="2" s="1"/>
  <c r="AB46" i="2"/>
  <c r="AD46" i="2" s="1"/>
  <c r="J45" i="2"/>
  <c r="L45" i="2" s="1"/>
  <c r="I45" i="2"/>
  <c r="K45" i="2" s="1"/>
  <c r="G44" i="2"/>
  <c r="S44" i="2"/>
  <c r="S35" i="2"/>
  <c r="S36" i="2"/>
  <c r="S42" i="2"/>
  <c r="AK49" i="2"/>
  <c r="M49" i="6"/>
  <c r="AE49" i="2"/>
  <c r="AE39" i="6"/>
  <c r="AD33" i="6"/>
  <c r="Y16" i="6"/>
  <c r="AE35" i="6"/>
  <c r="M44" i="6"/>
  <c r="I38" i="6"/>
  <c r="K38" i="6" s="1"/>
  <c r="J38" i="6"/>
  <c r="L38" i="6" s="1"/>
  <c r="J36" i="2"/>
  <c r="L36" i="2" s="1"/>
  <c r="I36" i="2"/>
  <c r="K36" i="2" s="1"/>
  <c r="AA35" i="2"/>
  <c r="AC35" i="2" s="1"/>
  <c r="AB35" i="2"/>
  <c r="AD35" i="2" s="1"/>
  <c r="I35" i="2"/>
  <c r="K35" i="2" s="1"/>
  <c r="J35" i="2"/>
  <c r="L35" i="2" s="1"/>
  <c r="AC33" i="6"/>
  <c r="AB36" i="2"/>
  <c r="AD36" i="2" s="1"/>
  <c r="AA36" i="2"/>
  <c r="AC36" i="2" s="1"/>
  <c r="M34" i="6"/>
  <c r="AE34" i="2"/>
  <c r="AB37" i="2"/>
  <c r="AD37" i="2" s="1"/>
  <c r="AA37" i="2"/>
  <c r="AC37" i="2" s="1"/>
  <c r="AE45" i="6"/>
  <c r="I37" i="6"/>
  <c r="K37" i="6" s="1"/>
  <c r="J37" i="6"/>
  <c r="L37" i="6" s="1"/>
  <c r="AB39" i="2"/>
  <c r="AD39" i="2" s="1"/>
  <c r="AA39" i="2"/>
  <c r="AC39" i="2" s="1"/>
  <c r="AE36" i="6"/>
  <c r="AA38" i="2"/>
  <c r="AC38" i="2" s="1"/>
  <c r="AB38" i="2"/>
  <c r="AD38" i="2" s="1"/>
  <c r="I39" i="6"/>
  <c r="K39" i="6" s="1"/>
  <c r="J39" i="6"/>
  <c r="L39" i="6" s="1"/>
  <c r="J37" i="2"/>
  <c r="L37" i="2" s="1"/>
  <c r="I37" i="2"/>
  <c r="K37" i="2" s="1"/>
  <c r="I36" i="6"/>
  <c r="K36" i="6" s="1"/>
  <c r="J36" i="6"/>
  <c r="L36" i="6" s="1"/>
  <c r="J35" i="6"/>
  <c r="L35" i="6" s="1"/>
  <c r="I35" i="6"/>
  <c r="K35" i="6" s="1"/>
  <c r="AE38" i="6"/>
  <c r="J38" i="2"/>
  <c r="L38" i="2" s="1"/>
  <c r="I38" i="2"/>
  <c r="K38" i="2" s="1"/>
  <c r="Y9" i="6"/>
  <c r="M34" i="2"/>
  <c r="I39" i="2"/>
  <c r="K39" i="2" s="1"/>
  <c r="J39" i="2"/>
  <c r="L39" i="2" s="1"/>
  <c r="C17" i="6"/>
  <c r="C16" i="6" s="1"/>
  <c r="C3" i="2"/>
  <c r="C2" i="2" s="1"/>
  <c r="B2" i="2"/>
  <c r="X2" i="2"/>
  <c r="W2" i="2"/>
  <c r="Y2" i="2"/>
  <c r="W9" i="6"/>
  <c r="B9" i="2"/>
  <c r="C10" i="2"/>
  <c r="C9" i="2" s="1"/>
  <c r="M42" i="6"/>
  <c r="Y9" i="2"/>
  <c r="W9" i="2"/>
  <c r="X9" i="2"/>
  <c r="AE49" i="6"/>
  <c r="W16" i="2"/>
  <c r="Y16" i="2"/>
  <c r="X16" i="2"/>
  <c r="C17" i="2"/>
  <c r="Y2" i="6"/>
  <c r="X2" i="6"/>
  <c r="W2" i="6"/>
  <c r="G9" i="6"/>
  <c r="F9" i="6"/>
  <c r="E9" i="6"/>
  <c r="Y2" i="14"/>
  <c r="X2" i="14"/>
  <c r="X9" i="14"/>
  <c r="W9" i="14"/>
  <c r="Y9" i="14"/>
  <c r="U9" i="14"/>
  <c r="AC40" i="6" l="1"/>
  <c r="K40" i="6"/>
  <c r="L40" i="6"/>
  <c r="M43" i="6"/>
  <c r="W16" i="13"/>
  <c r="Y16" i="13"/>
  <c r="E16" i="14"/>
  <c r="F16" i="14"/>
  <c r="M54" i="2"/>
  <c r="M52" i="2"/>
  <c r="M58" i="2"/>
  <c r="M53" i="2"/>
  <c r="M50" i="2"/>
  <c r="M55" i="2"/>
  <c r="M60" i="2"/>
  <c r="M51" i="2"/>
  <c r="M57" i="2"/>
  <c r="M49" i="2"/>
  <c r="M59" i="2"/>
  <c r="W16" i="6"/>
  <c r="M45" i="6"/>
  <c r="AK33" i="6"/>
  <c r="AD40" i="6"/>
  <c r="M39" i="6"/>
  <c r="AE44" i="6"/>
  <c r="AE46" i="2"/>
  <c r="AE37" i="2"/>
  <c r="M45" i="2"/>
  <c r="AE38" i="2"/>
  <c r="M37" i="2"/>
  <c r="M37" i="6"/>
  <c r="M38" i="2"/>
  <c r="M40" i="6"/>
  <c r="M35" i="6"/>
  <c r="AE36" i="2"/>
  <c r="L33" i="6"/>
  <c r="AE33" i="6"/>
  <c r="M38" i="6"/>
  <c r="M35" i="2"/>
  <c r="M39" i="2"/>
  <c r="K33" i="6"/>
  <c r="AE35" i="2"/>
  <c r="M36" i="2"/>
  <c r="M36" i="6"/>
  <c r="AE39" i="2"/>
  <c r="F16" i="2"/>
  <c r="E16" i="2"/>
  <c r="G16" i="2"/>
  <c r="E9" i="2"/>
  <c r="F9" i="2"/>
  <c r="G9" i="2"/>
  <c r="F2" i="2"/>
  <c r="E2" i="2"/>
  <c r="G2" i="2"/>
  <c r="G16" i="6"/>
  <c r="E16" i="6"/>
  <c r="F16" i="6"/>
  <c r="AE40" i="6" l="1"/>
  <c r="M33" i="6"/>
</calcChain>
</file>

<file path=xl/sharedStrings.xml><?xml version="1.0" encoding="utf-8"?>
<sst xmlns="http://schemas.openxmlformats.org/spreadsheetml/2006/main" count="1179" uniqueCount="190">
  <si>
    <t>Rn-220</t>
  </si>
  <si>
    <t>Rn-222</t>
  </si>
  <si>
    <t>SFI</t>
  </si>
  <si>
    <t>SFXSUB</t>
  </si>
  <si>
    <t>TR</t>
  </si>
  <si>
    <t>tres</t>
  </si>
  <si>
    <t>tw</t>
  </si>
  <si>
    <t>EDres-c</t>
  </si>
  <si>
    <t>EDres-a</t>
  </si>
  <si>
    <t>EDres</t>
  </si>
  <si>
    <t>EFres-c</t>
  </si>
  <si>
    <t>EFres-a</t>
  </si>
  <si>
    <t>EFres</t>
  </si>
  <si>
    <t>ETres-c</t>
  </si>
  <si>
    <t>ETres-a</t>
  </si>
  <si>
    <t>ETres</t>
  </si>
  <si>
    <t>IRAres-c</t>
  </si>
  <si>
    <t>IRAres-a</t>
  </si>
  <si>
    <t>IFAres-adj</t>
  </si>
  <si>
    <t>YHALFLIFE</t>
  </si>
  <si>
    <t>LAMBDA</t>
  </si>
  <si>
    <t>GSFa</t>
  </si>
  <si>
    <t>res_ia_inh</t>
  </si>
  <si>
    <t>res_ia_sub</t>
  </si>
  <si>
    <t>res_ia_tot</t>
  </si>
  <si>
    <t>res_cgw</t>
  </si>
  <si>
    <t>AFgw</t>
  </si>
  <si>
    <t>AFss</t>
  </si>
  <si>
    <t>Tgw</t>
  </si>
  <si>
    <t>TgwK</t>
  </si>
  <si>
    <t>C</t>
  </si>
  <si>
    <t>K</t>
  </si>
  <si>
    <t>Default</t>
  </si>
  <si>
    <t>Site-Specific</t>
  </si>
  <si>
    <t>years</t>
  </si>
  <si>
    <t>days/year</t>
  </si>
  <si>
    <t>hours/day</t>
  </si>
  <si>
    <t>m3/day</t>
  </si>
  <si>
    <t>m3</t>
  </si>
  <si>
    <t>s_TR</t>
  </si>
  <si>
    <t>s_tres</t>
  </si>
  <si>
    <t>s_tw</t>
  </si>
  <si>
    <t>s_EDres-c</t>
  </si>
  <si>
    <t>s_EDres-a</t>
  </si>
  <si>
    <t>s_EDres</t>
  </si>
  <si>
    <t>s_EFres-c</t>
  </si>
  <si>
    <t>s_EFres-a</t>
  </si>
  <si>
    <t>s_EFres</t>
  </si>
  <si>
    <t>s_ETres-c</t>
  </si>
  <si>
    <t>s_ETres-a</t>
  </si>
  <si>
    <t>s_ETres</t>
  </si>
  <si>
    <t>s_IRAres-c</t>
  </si>
  <si>
    <t>s_IRAres-a</t>
  </si>
  <si>
    <t>s_IFAres-adj</t>
  </si>
  <si>
    <t>s_GSFa</t>
  </si>
  <si>
    <t>s_AFgw</t>
  </si>
  <si>
    <t>s_AFss</t>
  </si>
  <si>
    <t>s_Tgw</t>
  </si>
  <si>
    <t>s_TgwK</t>
  </si>
  <si>
    <t>MW</t>
  </si>
  <si>
    <t>VP</t>
  </si>
  <si>
    <t>S</t>
  </si>
  <si>
    <t>ARAR</t>
  </si>
  <si>
    <t>HLC25</t>
  </si>
  <si>
    <t>H'25</t>
  </si>
  <si>
    <t>H'Tgw</t>
  </si>
  <si>
    <t>BP</t>
  </si>
  <si>
    <t>Tcrit</t>
  </si>
  <si>
    <t>DHv,b</t>
  </si>
  <si>
    <t>EFw</t>
  </si>
  <si>
    <t>EDw</t>
  </si>
  <si>
    <t>ETw</t>
  </si>
  <si>
    <t>IRAw</t>
  </si>
  <si>
    <t>s_EFw</t>
  </si>
  <si>
    <t>s_EDw</t>
  </si>
  <si>
    <t>s_ETw</t>
  </si>
  <si>
    <t>s_IRAw</t>
  </si>
  <si>
    <t>DEFAULT</t>
  </si>
  <si>
    <t>DHv,gw25</t>
  </si>
  <si>
    <t>Cia_220</t>
  </si>
  <si>
    <t>Cia_222</t>
  </si>
  <si>
    <t>Risk Cgw/Cia/Csg</t>
  </si>
  <si>
    <t>Rn-219</t>
  </si>
  <si>
    <t>Cia_219</t>
  </si>
  <si>
    <t>s_Cia_219</t>
  </si>
  <si>
    <t>s_Cia_220</t>
  </si>
  <si>
    <t>s_Cia_222</t>
  </si>
  <si>
    <t>DCFXSUB107</t>
  </si>
  <si>
    <t>DL</t>
  </si>
  <si>
    <t>s_DL</t>
  </si>
  <si>
    <t>IFAres-adj-d</t>
  </si>
  <si>
    <t>s_IFAres-adj-d</t>
  </si>
  <si>
    <t>AAFres-c</t>
  </si>
  <si>
    <t>s_AAFres-a</t>
  </si>
  <si>
    <t>AAFres-a</t>
  </si>
  <si>
    <t>s_AAFres-c</t>
  </si>
  <si>
    <t>Rn-219~Bi-211</t>
  </si>
  <si>
    <t>Rn-219~Pb-211</t>
  </si>
  <si>
    <t>Rn-219~Po-211</t>
  </si>
  <si>
    <t>Rn-219~Po-215</t>
  </si>
  <si>
    <t>Rn-219~Tl-207</t>
  </si>
  <si>
    <t>Rn-220~Bi-212</t>
  </si>
  <si>
    <t>Rn-220~Pb-212</t>
  </si>
  <si>
    <t>Rn-220~Po-212</t>
  </si>
  <si>
    <t>Rn-220~Po-216</t>
  </si>
  <si>
    <t>Rn-220~Tl-208</t>
  </si>
  <si>
    <t>Rn-222~Po-218</t>
  </si>
  <si>
    <t>Rn-222~Pb-214</t>
  </si>
  <si>
    <t>Rn-222~At-218</t>
  </si>
  <si>
    <t>Rn-222~Bi-214</t>
  </si>
  <si>
    <t>Rn-222~Rn-218</t>
  </si>
  <si>
    <t>Rn-222~Po-214</t>
  </si>
  <si>
    <t>Rn-222~Tl-210</t>
  </si>
  <si>
    <t>DCFI107_PC</t>
  </si>
  <si>
    <t>AEQ_0.18_res</t>
  </si>
  <si>
    <t>AEQ_0.6_w</t>
  </si>
  <si>
    <t>AEQ_5_res</t>
  </si>
  <si>
    <t>AEQ_5_w</t>
  </si>
  <si>
    <t>elcr_inh</t>
  </si>
  <si>
    <t>elcr_sub</t>
  </si>
  <si>
    <t>inh</t>
  </si>
  <si>
    <t>sub</t>
  </si>
  <si>
    <t>elcr_tot</t>
  </si>
  <si>
    <t>DHv,gw15</t>
  </si>
  <si>
    <t>ELCR_Cia</t>
  </si>
  <si>
    <t>Cia</t>
  </si>
  <si>
    <t>Cgw</t>
  </si>
  <si>
    <t>CDI_Cia</t>
  </si>
  <si>
    <t>Csg</t>
  </si>
  <si>
    <t>CDI_Cgw</t>
  </si>
  <si>
    <t>ELCR_Cgw</t>
  </si>
  <si>
    <t>CDI_Csg</t>
  </si>
  <si>
    <t>ELCR_Csg</t>
  </si>
  <si>
    <t>Resident</t>
  </si>
  <si>
    <t>Composite Worker</t>
  </si>
  <si>
    <t>res_WL</t>
  </si>
  <si>
    <t>res_tar_m3</t>
  </si>
  <si>
    <t>res_tar_L</t>
  </si>
  <si>
    <t>com_WL</t>
  </si>
  <si>
    <t>com_cgw</t>
  </si>
  <si>
    <t>com_ia_inh</t>
  </si>
  <si>
    <t>com_ia_sub</t>
  </si>
  <si>
    <t>com_ia_tot</t>
  </si>
  <si>
    <t>FEQ_res</t>
  </si>
  <si>
    <t>FEQ_con_res</t>
  </si>
  <si>
    <t>FEQ_com</t>
  </si>
  <si>
    <t>FEQ_con_com</t>
  </si>
  <si>
    <t>com_csg_m3</t>
  </si>
  <si>
    <t>com_csg_L</t>
  </si>
  <si>
    <t>res_csg_m3</t>
  </si>
  <si>
    <t>res_csg_L</t>
  </si>
  <si>
    <t>Cgw to Cia</t>
  </si>
  <si>
    <t>Csg to Cia</t>
  </si>
  <si>
    <t>INSTRUCTIONS</t>
  </si>
  <si>
    <t>Tab Descriptions</t>
  </si>
  <si>
    <t>Relevant Cell Descriptions on Green Tabs</t>
  </si>
  <si>
    <t>Other Important Notes</t>
  </si>
  <si>
    <t>These cells, are calculated based on specific inputs and cannot be altered unless the respective inputs are altered.</t>
  </si>
  <si>
    <t>ISOTOPE</t>
  </si>
  <si>
    <t>These cells, in the isospec, Aeq, exp tabs, are calculated values based specific inputs and cannot be altered unless the respective inputs are altered.</t>
  </si>
  <si>
    <t>These cells represent 'Total Risk' for the parent with progeny.</t>
  </si>
  <si>
    <t>These cells represent the total VISL for the parent with progeny.</t>
  </si>
  <si>
    <r>
      <t>The</t>
    </r>
    <r>
      <rPr>
        <i/>
        <sz val="11"/>
        <rFont val="Arial"/>
        <family val="2"/>
      </rPr>
      <t xml:space="preserve"> 'isospec' </t>
    </r>
    <r>
      <rPr>
        <sz val="11"/>
        <rFont val="Arial"/>
        <family val="2"/>
      </rPr>
      <t>tabs contains most isotope specific parameters like slope factors and dose conversion factors.</t>
    </r>
  </si>
  <si>
    <r>
      <t>The '</t>
    </r>
    <r>
      <rPr>
        <i/>
        <sz val="11"/>
        <rFont val="Arial"/>
        <family val="2"/>
      </rPr>
      <t>Aeq_Feq</t>
    </r>
    <r>
      <rPr>
        <sz val="11"/>
        <rFont val="Arial"/>
        <family val="2"/>
      </rPr>
      <t>' tabs contain Aeq and Feq values.</t>
    </r>
  </si>
  <si>
    <r>
      <t>The '</t>
    </r>
    <r>
      <rPr>
        <i/>
        <sz val="11"/>
        <rFont val="Arial"/>
        <family val="2"/>
      </rPr>
      <t>exp</t>
    </r>
    <r>
      <rPr>
        <sz val="11"/>
        <rFont val="Arial"/>
        <family val="2"/>
      </rPr>
      <t>' tab contains exposure parameter values such as ED etc.</t>
    </r>
  </si>
  <si>
    <t>Since this tool is used to calculate 'risk', the one hit rule is applied when the risk of exposure by route for a single isotope, summation of all routes for a single isotope, summation of single route for all isotopes, or summation of all routes for all isotopes exceed 0.01. Please note that this rule does not apply to dose outputs.</t>
  </si>
  <si>
    <t xml:space="preserve">The point of this QA sheet is to replicate the 'Default', 'Site-Specific with Defaults', and 'Site-Specific User Provided' output results for the RVISL (Radon Vapor Intrusion Screening Level for Radionuclide Contaminants at Superfund Sites) calculator. Below are instructions for understanding the ins and outs of this spreadsheet. </t>
  </si>
  <si>
    <t>Disclaimer: This archived file was intended for internal review but has been posted due to interest in historical reviews. This file is no longer used to quality assure the EPA RVISL calculator. Quality assurance spreadsheets have been updated accordingly and are provided on the internal verification page of the EPA PRG website.</t>
  </si>
  <si>
    <r>
      <t xml:space="preserve">These tabs present RVISLs in units of pCi for the output options that include decay. Tabs that do not begin with 's_ ' or 'up_ 'should be used to test the default output. Tabs that begin with 's_' should be used to test the site-specific output and use site specific inputs from the exp tab . </t>
    </r>
    <r>
      <rPr>
        <b/>
        <sz val="11"/>
        <color indexed="9"/>
        <rFont val="Arial"/>
        <family val="2"/>
      </rPr>
      <t xml:space="preserve">Tabs that begin with 'up_' should be used to test the site-specific user provided output and use site specific inputs from the exp tab. </t>
    </r>
  </si>
  <si>
    <t>WL</t>
  </si>
  <si>
    <t>s_WL</t>
  </si>
  <si>
    <t>WL pCi/L</t>
  </si>
  <si>
    <t>WL pCi/m3</t>
  </si>
  <si>
    <t>Rn-222~Bi-210</t>
  </si>
  <si>
    <t>Rn-222~Hg-206</t>
  </si>
  <si>
    <t>Rn-222~Pb-210</t>
  </si>
  <si>
    <t>Rn-222~Po-210</t>
  </si>
  <si>
    <t>Rn-222~Tl-206</t>
  </si>
  <si>
    <t>Cia (pCi/m3)</t>
  </si>
  <si>
    <t>=</t>
  </si>
  <si>
    <t>dose_Cia</t>
  </si>
  <si>
    <t>dose_Cgw</t>
  </si>
  <si>
    <t>dose_Csg</t>
  </si>
  <si>
    <t>dose_inh</t>
  </si>
  <si>
    <t>dose_sub</t>
  </si>
  <si>
    <t>dose_tot</t>
  </si>
  <si>
    <t>SITE-SPECIFIC</t>
  </si>
  <si>
    <t>USER-PROVIDED</t>
  </si>
  <si>
    <t>com_tar_m3</t>
  </si>
  <si>
    <t>com_tar_L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</si>
</sst>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0" x14ac:knownFonts="1">
    <font>
      <sz val="11"/>
      <color theme="1"/>
      <name val="Calibri"/>
      <family val="2"/>
      <scheme val="minor"/>
    </font>
    <font>
      <b/>
      <sz val="10"/>
      <name val="Arial"/>
      <family val="2"/>
    </font>
    <font>
      <b/>
      <sz val="11"/>
      <color theme="1"/>
      <name val="Calibri"/>
      <family val="2"/>
      <scheme val="minor"/>
    </font>
    <font>
      <sz val="11"/>
      <color theme="9" tint="-0.499984740745262"/>
      <name val="Calibri"/>
      <family val="2"/>
      <scheme val="minor"/>
    </font>
    <font>
      <b/>
      <sz val="14"/>
      <color theme="1"/>
      <name val="Calibri"/>
      <family val="2"/>
      <scheme val="minor"/>
    </font>
    <font>
      <b/>
      <sz val="12"/>
      <color theme="1"/>
      <name val="Calibri"/>
      <family val="2"/>
      <scheme val="minor"/>
    </font>
    <font>
      <b/>
      <sz val="10"/>
      <name val="Arial"/>
      <family val="2"/>
    </font>
    <font>
      <b/>
      <i/>
      <sz val="11"/>
      <color theme="1"/>
      <name val="Calibri"/>
      <family val="2"/>
      <scheme val="minor"/>
    </font>
    <font>
      <sz val="10"/>
      <name val="Arial"/>
      <family val="2"/>
    </font>
    <font>
      <b/>
      <sz val="22"/>
      <color rgb="FFFF0000"/>
      <name val="Arial"/>
      <family val="2"/>
    </font>
    <font>
      <b/>
      <sz val="12"/>
      <color rgb="FFFF0000"/>
      <name val="Arial"/>
      <family val="2"/>
    </font>
    <font>
      <b/>
      <sz val="11"/>
      <name val="Arial"/>
      <family val="2"/>
    </font>
    <font>
      <sz val="12"/>
      <name val="Arial"/>
      <family val="2"/>
    </font>
    <font>
      <b/>
      <sz val="12"/>
      <name val="Arial"/>
      <family val="2"/>
    </font>
    <font>
      <b/>
      <sz val="11"/>
      <color theme="0"/>
      <name val="Arial"/>
      <family val="2"/>
    </font>
    <font>
      <b/>
      <sz val="11"/>
      <color indexed="9"/>
      <name val="Arial"/>
      <family val="2"/>
    </font>
    <font>
      <sz val="11"/>
      <name val="Arial"/>
      <family val="2"/>
    </font>
    <font>
      <i/>
      <sz val="11"/>
      <name val="Arial"/>
      <family val="2"/>
    </font>
    <font>
      <sz val="10"/>
      <color theme="9" tint="-0.499984740745262"/>
      <name val="Arial"/>
      <family val="2"/>
    </font>
    <font>
      <b/>
      <i/>
      <sz val="1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99FFCC"/>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rgb="FFE2EFDA"/>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bottom style="medium">
        <color auto="1"/>
      </bottom>
      <diagonal/>
    </border>
    <border>
      <left style="thin">
        <color indexed="64"/>
      </left>
      <right style="medium">
        <color indexed="64"/>
      </right>
      <top style="medium">
        <color indexed="64"/>
      </top>
      <bottom/>
      <diagonal/>
    </border>
    <border>
      <left style="thin">
        <color auto="1"/>
      </left>
      <right style="medium">
        <color indexed="64"/>
      </right>
      <top/>
      <bottom/>
      <diagonal/>
    </border>
  </borders>
  <cellStyleXfs count="3">
    <xf numFmtId="0" fontId="0" fillId="0" borderId="0"/>
    <xf numFmtId="0" fontId="8" fillId="0" borderId="0"/>
    <xf numFmtId="0" fontId="8" fillId="0" borderId="0"/>
  </cellStyleXfs>
  <cellXfs count="125">
    <xf numFmtId="0" fontId="0" fillId="0" borderId="0" xfId="0"/>
    <xf numFmtId="0" fontId="9" fillId="0" borderId="0" xfId="1" applyFont="1" applyAlignment="1">
      <alignment horizontal="center" vertical="center"/>
    </xf>
    <xf numFmtId="0" fontId="9" fillId="0" borderId="0" xfId="1" applyFont="1" applyAlignment="1" applyProtection="1">
      <alignment vertical="center"/>
      <protection locked="0"/>
    </xf>
    <xf numFmtId="0" fontId="8" fillId="0" borderId="0" xfId="1" applyProtection="1">
      <protection locked="0"/>
    </xf>
    <xf numFmtId="0" fontId="10" fillId="0" borderId="28" xfId="2" applyFont="1" applyBorder="1" applyAlignment="1">
      <alignment horizontal="left" vertical="center" wrapText="1"/>
    </xf>
    <xf numFmtId="0" fontId="11" fillId="0" borderId="0" xfId="1" applyFont="1" applyAlignment="1" applyProtection="1">
      <alignment wrapText="1"/>
      <protection locked="0"/>
    </xf>
    <xf numFmtId="0" fontId="11" fillId="0" borderId="0" xfId="1" applyFont="1" applyAlignment="1">
      <alignment wrapText="1"/>
    </xf>
    <xf numFmtId="0" fontId="12" fillId="0" borderId="0" xfId="1" applyFont="1" applyAlignment="1">
      <alignment wrapText="1"/>
    </xf>
    <xf numFmtId="0" fontId="13" fillId="0" borderId="0" xfId="1" applyFont="1" applyAlignment="1">
      <alignment horizontal="center"/>
    </xf>
    <xf numFmtId="0" fontId="14" fillId="8" borderId="29" xfId="1" applyFont="1" applyFill="1" applyBorder="1" applyAlignment="1">
      <alignment wrapText="1"/>
    </xf>
    <xf numFmtId="0" fontId="14" fillId="0" borderId="0" xfId="1" applyFont="1" applyProtection="1">
      <protection locked="0"/>
    </xf>
    <xf numFmtId="0" fontId="11" fillId="0" borderId="30" xfId="1" applyFont="1" applyBorder="1"/>
    <xf numFmtId="0" fontId="16" fillId="0" borderId="30" xfId="1" applyFont="1" applyBorder="1"/>
    <xf numFmtId="0" fontId="16" fillId="0" borderId="31" xfId="1" applyFont="1" applyBorder="1"/>
    <xf numFmtId="0" fontId="8" fillId="0" borderId="31" xfId="1" applyBorder="1" applyAlignment="1">
      <alignment wrapText="1"/>
    </xf>
    <xf numFmtId="0" fontId="8" fillId="0" borderId="0" xfId="1"/>
    <xf numFmtId="0" fontId="18" fillId="2" borderId="29" xfId="2" applyFont="1" applyFill="1" applyBorder="1"/>
    <xf numFmtId="0" fontId="2" fillId="0" borderId="0" xfId="0" applyFont="1" applyAlignment="1" applyProtection="1">
      <alignment horizontal="left" vertical="top"/>
    </xf>
    <xf numFmtId="11" fontId="1" fillId="0" borderId="0" xfId="0" applyNumberFormat="1" applyFont="1" applyAlignment="1" applyProtection="1">
      <alignment horizontal="left"/>
    </xf>
    <xf numFmtId="0" fontId="6" fillId="0" borderId="0" xfId="0" applyFont="1" applyAlignment="1" applyProtection="1">
      <alignment horizontal="left"/>
    </xf>
    <xf numFmtId="11" fontId="2" fillId="0" borderId="0" xfId="0" applyNumberFormat="1" applyFont="1" applyFill="1" applyBorder="1" applyAlignment="1" applyProtection="1">
      <alignment horizontal="left" vertical="center"/>
    </xf>
    <xf numFmtId="11" fontId="2" fillId="0" borderId="0" xfId="0" applyNumberFormat="1" applyFont="1" applyAlignment="1" applyProtection="1">
      <alignment horizontal="left" vertical="center"/>
    </xf>
    <xf numFmtId="0" fontId="2" fillId="0" borderId="0" xfId="0" applyFont="1" applyAlignment="1" applyProtection="1">
      <alignment horizontal="left"/>
    </xf>
    <xf numFmtId="0" fontId="0" fillId="0" borderId="0" xfId="0" applyAlignment="1" applyProtection="1">
      <alignment horizontal="left"/>
    </xf>
    <xf numFmtId="11" fontId="0" fillId="0" borderId="0" xfId="0" applyNumberFormat="1" applyAlignment="1" applyProtection="1">
      <alignment horizontal="left"/>
    </xf>
    <xf numFmtId="0" fontId="0" fillId="0" borderId="0" xfId="0" applyFont="1" applyAlignment="1" applyProtection="1">
      <alignment horizontal="left"/>
    </xf>
    <xf numFmtId="11" fontId="3" fillId="2" borderId="0" xfId="0" applyNumberFormat="1" applyFont="1" applyFill="1" applyAlignment="1" applyProtection="1">
      <alignment horizontal="left"/>
    </xf>
    <xf numFmtId="164" fontId="0" fillId="0" borderId="0" xfId="0" applyNumberFormat="1" applyAlignment="1" applyProtection="1">
      <alignment horizontal="left"/>
    </xf>
    <xf numFmtId="0" fontId="0" fillId="0" borderId="0" xfId="0" applyNumberFormat="1" applyAlignment="1" applyProtection="1">
      <alignment horizontal="left"/>
    </xf>
    <xf numFmtId="0" fontId="0" fillId="0" borderId="0" xfId="0" applyAlignment="1" applyProtection="1">
      <alignment horizontal="left"/>
      <protection locked="0"/>
    </xf>
    <xf numFmtId="0" fontId="0" fillId="0" borderId="0" xfId="0" applyNumberFormat="1" applyAlignment="1" applyProtection="1">
      <alignment horizontal="left"/>
      <protection locked="0"/>
    </xf>
    <xf numFmtId="11" fontId="3" fillId="9" borderId="0" xfId="0" applyNumberFormat="1" applyFont="1" applyFill="1" applyAlignment="1" applyProtection="1">
      <alignment horizontal="left"/>
    </xf>
    <xf numFmtId="0" fontId="0" fillId="0" borderId="0" xfId="0" applyProtection="1">
      <protection locked="0"/>
    </xf>
    <xf numFmtId="0" fontId="0" fillId="0" borderId="0" xfId="0" applyAlignment="1" applyProtection="1">
      <alignment horizontal="center"/>
      <protection locked="0"/>
    </xf>
    <xf numFmtId="11" fontId="3" fillId="2" borderId="0" xfId="0" applyNumberFormat="1" applyFont="1" applyFill="1" applyAlignment="1" applyProtection="1">
      <alignment horizontal="center"/>
    </xf>
    <xf numFmtId="0" fontId="2" fillId="0" borderId="0" xfId="0" applyFont="1" applyProtection="1"/>
    <xf numFmtId="0" fontId="0" fillId="0" borderId="1" xfId="0" applyBorder="1" applyProtection="1">
      <protection locked="0"/>
    </xf>
    <xf numFmtId="11" fontId="0" fillId="0" borderId="2" xfId="0" applyNumberFormat="1"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4" xfId="0" applyFill="1" applyBorder="1" applyProtection="1">
      <protection locked="0"/>
    </xf>
    <xf numFmtId="0" fontId="0" fillId="0" borderId="0" xfId="0" applyNumberFormat="1" applyBorder="1" applyProtection="1">
      <protection locked="0"/>
    </xf>
    <xf numFmtId="11" fontId="0" fillId="0" borderId="0" xfId="0" applyNumberFormat="1" applyProtection="1">
      <protection locked="0"/>
    </xf>
    <xf numFmtId="11" fontId="0" fillId="0" borderId="5" xfId="0" applyNumberFormat="1" applyBorder="1" applyProtection="1">
      <protection locked="0"/>
    </xf>
    <xf numFmtId="0" fontId="0" fillId="0" borderId="6" xfId="0" applyBorder="1" applyProtection="1">
      <protection locked="0"/>
    </xf>
    <xf numFmtId="0" fontId="0" fillId="0" borderId="7" xfId="0" applyNumberFormat="1" applyBorder="1" applyProtection="1">
      <protection locked="0"/>
    </xf>
    <xf numFmtId="11" fontId="0" fillId="0" borderId="8" xfId="0" applyNumberFormat="1" applyBorder="1" applyProtection="1">
      <protection locked="0"/>
    </xf>
    <xf numFmtId="0" fontId="0" fillId="0" borderId="8" xfId="0" applyBorder="1" applyProtection="1">
      <protection locked="0"/>
    </xf>
    <xf numFmtId="0" fontId="3" fillId="2" borderId="0" xfId="0" applyFont="1" applyFill="1" applyBorder="1" applyProtection="1"/>
    <xf numFmtId="165" fontId="3" fillId="2" borderId="0" xfId="0" applyNumberFormat="1" applyFont="1" applyFill="1" applyBorder="1" applyProtection="1"/>
    <xf numFmtId="2" fontId="3" fillId="2" borderId="0" xfId="0" applyNumberFormat="1" applyFont="1" applyFill="1" applyProtection="1"/>
    <xf numFmtId="0" fontId="1" fillId="3" borderId="30" xfId="2" applyFont="1" applyFill="1" applyBorder="1"/>
    <xf numFmtId="0" fontId="19" fillId="4" borderId="30" xfId="2" applyFont="1" applyFill="1" applyBorder="1"/>
    <xf numFmtId="0" fontId="8" fillId="0" borderId="29" xfId="1" applyFont="1" applyFill="1" applyBorder="1"/>
    <xf numFmtId="11" fontId="0" fillId="0" borderId="0" xfId="0" applyNumberFormat="1" applyBorder="1" applyProtection="1">
      <protection locked="0"/>
    </xf>
    <xf numFmtId="0" fontId="0" fillId="0" borderId="0" xfId="0" applyBorder="1" applyProtection="1"/>
    <xf numFmtId="0" fontId="0" fillId="5" borderId="0" xfId="0" applyFill="1" applyBorder="1" applyProtection="1"/>
    <xf numFmtId="11" fontId="7" fillId="3" borderId="0" xfId="0" applyNumberFormat="1" applyFont="1" applyFill="1" applyBorder="1" applyAlignment="1" applyProtection="1">
      <alignment horizontal="center"/>
    </xf>
    <xf numFmtId="11" fontId="0" fillId="0" borderId="0" xfId="0" applyNumberFormat="1" applyBorder="1" applyAlignment="1" applyProtection="1">
      <alignment horizontal="center"/>
    </xf>
    <xf numFmtId="0" fontId="0" fillId="6" borderId="0" xfId="0" applyFill="1" applyBorder="1" applyProtection="1"/>
    <xf numFmtId="0" fontId="5" fillId="0" borderId="0" xfId="0" applyFont="1" applyBorder="1" applyAlignment="1" applyProtection="1">
      <alignment horizontal="center"/>
    </xf>
    <xf numFmtId="0" fontId="0" fillId="0" borderId="9" xfId="0" applyBorder="1" applyProtection="1"/>
    <xf numFmtId="0" fontId="0" fillId="0" borderId="12" xfId="0" applyBorder="1" applyProtection="1"/>
    <xf numFmtId="0" fontId="0" fillId="0" borderId="0" xfId="0" applyFill="1" applyBorder="1" applyProtection="1"/>
    <xf numFmtId="0" fontId="0" fillId="0" borderId="5" xfId="0" applyFill="1" applyBorder="1" applyProtection="1"/>
    <xf numFmtId="11" fontId="7" fillId="4" borderId="19" xfId="0" applyNumberFormat="1" applyFont="1" applyFill="1" applyBorder="1" applyProtection="1"/>
    <xf numFmtId="11" fontId="7" fillId="4" borderId="21" xfId="0" applyNumberFormat="1" applyFont="1" applyFill="1" applyBorder="1" applyProtection="1"/>
    <xf numFmtId="11" fontId="7" fillId="4" borderId="22" xfId="0" applyNumberFormat="1" applyFont="1" applyFill="1" applyBorder="1" applyProtection="1"/>
    <xf numFmtId="11" fontId="0" fillId="0" borderId="16" xfId="0" applyNumberFormat="1" applyFill="1" applyBorder="1" applyAlignment="1" applyProtection="1">
      <alignment horizontal="center"/>
    </xf>
    <xf numFmtId="11" fontId="0" fillId="0" borderId="9" xfId="0" applyNumberFormat="1" applyFill="1" applyBorder="1" applyProtection="1"/>
    <xf numFmtId="11" fontId="0" fillId="0" borderId="12" xfId="0" applyNumberFormat="1" applyFill="1" applyBorder="1" applyProtection="1"/>
    <xf numFmtId="11" fontId="0" fillId="0" borderId="0" xfId="0" applyNumberFormat="1" applyFill="1" applyBorder="1" applyProtection="1"/>
    <xf numFmtId="11" fontId="0" fillId="0" borderId="5" xfId="0" applyNumberFormat="1" applyFill="1" applyBorder="1" applyProtection="1"/>
    <xf numFmtId="11" fontId="0" fillId="0" borderId="24" xfId="0" applyNumberFormat="1" applyFill="1" applyBorder="1" applyAlignment="1" applyProtection="1">
      <alignment horizontal="center"/>
    </xf>
    <xf numFmtId="11" fontId="0" fillId="0" borderId="25" xfId="0" applyNumberFormat="1" applyFill="1" applyBorder="1" applyProtection="1"/>
    <xf numFmtId="11" fontId="0" fillId="0" borderId="26" xfId="0" applyNumberFormat="1" applyFill="1" applyBorder="1" applyProtection="1"/>
    <xf numFmtId="11" fontId="0" fillId="0" borderId="27" xfId="0" applyNumberFormat="1" applyFill="1" applyBorder="1" applyProtection="1"/>
    <xf numFmtId="11" fontId="0" fillId="0" borderId="17" xfId="0" applyNumberFormat="1" applyFill="1" applyBorder="1" applyAlignment="1" applyProtection="1">
      <alignment horizontal="center"/>
    </xf>
    <xf numFmtId="11" fontId="0" fillId="0" borderId="10" xfId="0" applyNumberFormat="1" applyFill="1" applyBorder="1" applyProtection="1"/>
    <xf numFmtId="11" fontId="0" fillId="0" borderId="13" xfId="0" applyNumberFormat="1" applyFill="1" applyBorder="1" applyProtection="1"/>
    <xf numFmtId="11" fontId="0" fillId="0" borderId="7" xfId="0" applyNumberFormat="1" applyFill="1" applyBorder="1" applyProtection="1"/>
    <xf numFmtId="11" fontId="0" fillId="0" borderId="8" xfId="0" applyNumberFormat="1" applyFill="1" applyBorder="1" applyProtection="1"/>
    <xf numFmtId="11" fontId="7" fillId="7" borderId="23" xfId="0" applyNumberFormat="1" applyFont="1" applyFill="1" applyBorder="1" applyAlignment="1" applyProtection="1">
      <alignment horizontal="center"/>
    </xf>
    <xf numFmtId="11" fontId="7" fillId="7" borderId="21" xfId="0" applyNumberFormat="1" applyFont="1" applyFill="1" applyBorder="1" applyAlignment="1" applyProtection="1">
      <alignment horizontal="center"/>
    </xf>
    <xf numFmtId="11" fontId="7" fillId="7" borderId="20" xfId="0" applyNumberFormat="1" applyFont="1" applyFill="1" applyBorder="1" applyAlignment="1" applyProtection="1">
      <alignment horizontal="center"/>
    </xf>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horizontal="center" vertical="top"/>
    </xf>
    <xf numFmtId="164" fontId="0" fillId="0" borderId="0" xfId="0" applyNumberFormat="1" applyAlignment="1">
      <alignment horizontal="center" vertical="top"/>
    </xf>
    <xf numFmtId="164" fontId="0" fillId="0" borderId="0" xfId="0" applyNumberFormat="1" applyAlignment="1" applyProtection="1">
      <alignment horizontal="center"/>
      <protection locked="0"/>
    </xf>
    <xf numFmtId="11" fontId="0" fillId="0" borderId="0" xfId="0" applyNumberFormat="1" applyAlignment="1">
      <alignment horizontal="center" vertical="top"/>
    </xf>
    <xf numFmtId="11" fontId="0" fillId="0" borderId="0" xfId="0" applyNumberFormat="1" applyAlignment="1" applyProtection="1">
      <alignment horizontal="center"/>
      <protection locked="0"/>
    </xf>
    <xf numFmtId="0" fontId="5" fillId="0" borderId="15" xfId="0" applyFont="1" applyBorder="1" applyAlignment="1" applyProtection="1"/>
    <xf numFmtId="11" fontId="7" fillId="7" borderId="23" xfId="0" applyNumberFormat="1" applyFont="1" applyFill="1" applyBorder="1" applyAlignment="1" applyProtection="1"/>
    <xf numFmtId="11" fontId="7" fillId="7" borderId="21" xfId="0" applyNumberFormat="1" applyFont="1" applyFill="1" applyBorder="1" applyAlignment="1" applyProtection="1"/>
    <xf numFmtId="11" fontId="0" fillId="0" borderId="32" xfId="0" applyNumberFormat="1" applyFill="1" applyBorder="1" applyProtection="1"/>
    <xf numFmtId="0" fontId="5" fillId="0" borderId="33" xfId="0" applyFont="1" applyBorder="1" applyAlignment="1" applyProtection="1"/>
    <xf numFmtId="0" fontId="0" fillId="0" borderId="34" xfId="0" applyBorder="1" applyProtection="1"/>
    <xf numFmtId="11" fontId="7" fillId="7" borderId="22" xfId="0" applyNumberFormat="1" applyFont="1" applyFill="1" applyBorder="1" applyAlignment="1" applyProtection="1"/>
    <xf numFmtId="11" fontId="0" fillId="0" borderId="34" xfId="0" applyNumberFormat="1" applyFill="1" applyBorder="1" applyProtection="1"/>
    <xf numFmtId="11" fontId="7" fillId="7" borderId="23" xfId="0" applyNumberFormat="1" applyFont="1" applyFill="1" applyBorder="1" applyAlignment="1" applyProtection="1">
      <alignment horizontal="center"/>
    </xf>
    <xf numFmtId="11" fontId="7" fillId="7" borderId="21" xfId="0" applyNumberFormat="1" applyFont="1" applyFill="1" applyBorder="1" applyAlignment="1" applyProtection="1">
      <alignment horizontal="center"/>
    </xf>
    <xf numFmtId="11" fontId="7" fillId="7" borderId="20" xfId="0" applyNumberFormat="1" applyFont="1" applyFill="1" applyBorder="1" applyAlignment="1" applyProtection="1">
      <alignment horizontal="center"/>
    </xf>
    <xf numFmtId="0" fontId="0" fillId="0" borderId="0" xfId="0" applyNumberFormat="1" applyAlignment="1">
      <alignment horizontal="center" vertical="top"/>
    </xf>
    <xf numFmtId="0" fontId="0" fillId="0" borderId="0" xfId="0" applyNumberFormat="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14"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15" xfId="0" applyFont="1" applyBorder="1" applyAlignment="1" applyProtection="1">
      <alignment horizontal="center"/>
    </xf>
    <xf numFmtId="0" fontId="5" fillId="0" borderId="1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4" fillId="5" borderId="7" xfId="0" applyFont="1" applyFill="1" applyBorder="1" applyAlignment="1" applyProtection="1">
      <alignment horizontal="center"/>
    </xf>
    <xf numFmtId="0" fontId="4" fillId="6" borderId="7" xfId="0" applyFont="1" applyFill="1" applyBorder="1" applyAlignment="1" applyProtection="1">
      <alignment horizontal="center"/>
    </xf>
    <xf numFmtId="0" fontId="5" fillId="0" borderId="14"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11" fontId="7" fillId="7" borderId="23" xfId="0" applyNumberFormat="1" applyFont="1" applyFill="1" applyBorder="1" applyAlignment="1" applyProtection="1">
      <alignment horizontal="center"/>
    </xf>
    <xf numFmtId="11" fontId="7" fillId="7" borderId="21" xfId="0" applyNumberFormat="1" applyFont="1" applyFill="1" applyBorder="1" applyAlignment="1" applyProtection="1">
      <alignment horizontal="center"/>
    </xf>
    <xf numFmtId="11" fontId="7" fillId="7" borderId="20" xfId="0" applyNumberFormat="1" applyFont="1" applyFill="1" applyBorder="1" applyAlignment="1" applyProtection="1">
      <alignment horizontal="center"/>
    </xf>
  </cellXfs>
  <cellStyles count="3">
    <cellStyle name="Normal" xfId="0" builtinId="0"/>
    <cellStyle name="Normal 2" xfId="1" xr:uid="{E67CC54A-B072-4E3A-954F-334531D684C2}"/>
    <cellStyle name="Normal 2 2" xfId="2" xr:uid="{1140AAE2-DB5C-4B81-9E96-13A12783B5BC}"/>
  </cellStyles>
  <dxfs count="0"/>
  <tableStyles count="0" defaultTableStyle="TableStyleMedium2" defaultPivotStyle="PivotStyleLight16"/>
  <colors>
    <mruColors>
      <color rgb="FFCCCCFF"/>
      <color rgb="FFE2EFDA"/>
      <color rgb="FF99FFCC"/>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21\OneDrive%20-%20Oak%20Ridge%20National%20Laboratory\EPA%20Tools\RAD_Master%20QA%20Sheets\2019_Internal_Verification_Spreadsheets\RADPRG_non_worker_dec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dSpec"/>
      <sheetName val="def_acf"/>
      <sheetName val="d"/>
      <sheetName val="Bv"/>
      <sheetName val="Irr"/>
      <sheetName val="dir"/>
      <sheetName val="b2s"/>
      <sheetName val="b2w"/>
      <sheetName val="res"/>
      <sheetName val="far"/>
      <sheetName val="rec"/>
      <sheetName val="sgw"/>
      <sheetName val="s_RadSpec"/>
      <sheetName val="s_Irr"/>
      <sheetName val="s_dir"/>
      <sheetName val="s_b2s"/>
      <sheetName val="s_b2w"/>
      <sheetName val="s_res"/>
      <sheetName val="s_far"/>
      <sheetName val="ss_rec"/>
      <sheetName val="ss_sgw"/>
      <sheetName val="ss"/>
      <sheetName val="up_RadSpec"/>
      <sheetName val="up_Bv"/>
      <sheetName val="up_Irr"/>
      <sheetName val="up_dir"/>
      <sheetName val="up_b2s"/>
      <sheetName val="up_b2w"/>
      <sheetName val="up_res"/>
      <sheetName val="up_far"/>
      <sheetName val="up_rec"/>
      <sheetName val="up_sgw"/>
    </sheetNames>
    <sheetDataSet>
      <sheetData sheetId="0" refreshError="1"/>
      <sheetData sheetId="1" refreshError="1"/>
      <sheetData sheetId="2" refreshError="1"/>
      <sheetData sheetId="3">
        <row r="2">
          <cell r="B2">
            <v>9.9999999999999995E-7</v>
          </cell>
          <cell r="E2">
            <v>6</v>
          </cell>
          <cell r="H2">
            <v>6</v>
          </cell>
          <cell r="K2">
            <v>6</v>
          </cell>
          <cell r="N2">
            <v>1</v>
          </cell>
          <cell r="Q2">
            <v>1</v>
          </cell>
        </row>
        <row r="3">
          <cell r="B3">
            <v>0.5</v>
          </cell>
          <cell r="E3">
            <v>20</v>
          </cell>
          <cell r="H3">
            <v>20</v>
          </cell>
          <cell r="K3">
            <v>34</v>
          </cell>
          <cell r="N3">
            <v>1</v>
          </cell>
          <cell r="Q3">
            <v>1</v>
          </cell>
        </row>
        <row r="4">
          <cell r="B4">
            <v>1</v>
          </cell>
          <cell r="E4">
            <v>26</v>
          </cell>
          <cell r="H4">
            <v>26</v>
          </cell>
          <cell r="K4">
            <v>40</v>
          </cell>
          <cell r="N4">
            <v>1</v>
          </cell>
          <cell r="Q4">
            <v>1</v>
          </cell>
        </row>
        <row r="5">
          <cell r="E5">
            <v>26</v>
          </cell>
          <cell r="H5">
            <v>26</v>
          </cell>
          <cell r="K5">
            <v>40</v>
          </cell>
          <cell r="N5">
            <v>1</v>
          </cell>
          <cell r="Q5">
            <v>1</v>
          </cell>
        </row>
        <row r="6">
          <cell r="B6">
            <v>1</v>
          </cell>
          <cell r="E6">
            <v>10</v>
          </cell>
          <cell r="H6">
            <v>10</v>
          </cell>
          <cell r="K6">
            <v>10</v>
          </cell>
          <cell r="N6">
            <v>1</v>
          </cell>
          <cell r="Q6">
            <v>1</v>
          </cell>
        </row>
        <row r="7">
          <cell r="B7">
            <v>2.6999999999999999E-5</v>
          </cell>
          <cell r="E7">
            <v>20</v>
          </cell>
          <cell r="H7">
            <v>20</v>
          </cell>
          <cell r="K7">
            <v>20</v>
          </cell>
          <cell r="N7">
            <v>1</v>
          </cell>
          <cell r="Q7">
            <v>1</v>
          </cell>
        </row>
        <row r="8">
          <cell r="B8">
            <v>3.62</v>
          </cell>
          <cell r="E8">
            <v>161000</v>
          </cell>
          <cell r="H8">
            <v>1437.5</v>
          </cell>
          <cell r="K8">
            <v>259000</v>
          </cell>
          <cell r="N8">
            <v>1</v>
          </cell>
        </row>
        <row r="9">
          <cell r="B9">
            <v>0.25</v>
          </cell>
          <cell r="E9">
            <v>6104</v>
          </cell>
          <cell r="H9">
            <v>1950</v>
          </cell>
          <cell r="K9">
            <v>9583</v>
          </cell>
          <cell r="N9">
            <v>1</v>
          </cell>
        </row>
        <row r="10">
          <cell r="B10">
            <v>10950</v>
          </cell>
          <cell r="E10">
            <v>200</v>
          </cell>
          <cell r="H10">
            <v>200</v>
          </cell>
          <cell r="K10">
            <v>200</v>
          </cell>
          <cell r="N10">
            <v>1</v>
          </cell>
        </row>
        <row r="11">
          <cell r="B11">
            <v>240</v>
          </cell>
          <cell r="E11">
            <v>100</v>
          </cell>
          <cell r="H11">
            <v>100</v>
          </cell>
          <cell r="K11">
            <v>100</v>
          </cell>
          <cell r="N11">
            <v>1</v>
          </cell>
        </row>
        <row r="12">
          <cell r="B12">
            <v>0.42</v>
          </cell>
          <cell r="E12">
            <v>1120000</v>
          </cell>
          <cell r="H12">
            <v>240000</v>
          </cell>
          <cell r="K12">
            <v>1610000</v>
          </cell>
          <cell r="N12">
            <v>1</v>
          </cell>
          <cell r="Q12">
            <v>62.8</v>
          </cell>
        </row>
        <row r="13">
          <cell r="B13">
            <v>60</v>
          </cell>
          <cell r="E13">
            <v>0.78</v>
          </cell>
          <cell r="H13">
            <v>0.12</v>
          </cell>
          <cell r="K13">
            <v>0.78</v>
          </cell>
          <cell r="N13">
            <v>1</v>
          </cell>
          <cell r="Q13">
            <v>165.3</v>
          </cell>
        </row>
        <row r="14">
          <cell r="B14">
            <v>2</v>
          </cell>
          <cell r="E14">
            <v>2.5</v>
          </cell>
          <cell r="H14">
            <v>7.0999999999999994E-2</v>
          </cell>
          <cell r="K14">
            <v>2.5</v>
          </cell>
          <cell r="N14">
            <v>1</v>
          </cell>
          <cell r="Q14">
            <v>2098950</v>
          </cell>
        </row>
        <row r="15">
          <cell r="B15">
            <v>1</v>
          </cell>
          <cell r="E15">
            <v>19138</v>
          </cell>
          <cell r="H15">
            <v>160.5</v>
          </cell>
          <cell r="K15">
            <v>31388</v>
          </cell>
          <cell r="N15">
            <v>1</v>
          </cell>
          <cell r="Q15">
            <v>994.7</v>
          </cell>
        </row>
        <row r="16">
          <cell r="B16">
            <v>14</v>
          </cell>
          <cell r="E16">
            <v>54000</v>
          </cell>
          <cell r="H16">
            <v>1</v>
          </cell>
          <cell r="K16">
            <v>350</v>
          </cell>
          <cell r="N16">
            <v>1</v>
          </cell>
          <cell r="Q16">
            <v>676.4</v>
          </cell>
        </row>
        <row r="17">
          <cell r="B17">
            <v>1.5</v>
          </cell>
          <cell r="E17">
            <v>350</v>
          </cell>
          <cell r="H17">
            <v>1</v>
          </cell>
          <cell r="K17">
            <v>350</v>
          </cell>
          <cell r="N17">
            <v>1</v>
          </cell>
          <cell r="Q17">
            <v>10138030</v>
          </cell>
        </row>
        <row r="18">
          <cell r="B18">
            <v>0.3</v>
          </cell>
          <cell r="E18">
            <v>350</v>
          </cell>
          <cell r="H18">
            <v>75</v>
          </cell>
          <cell r="K18">
            <v>350</v>
          </cell>
          <cell r="N18">
            <v>1</v>
          </cell>
          <cell r="Q18">
            <v>31.7</v>
          </cell>
        </row>
        <row r="19">
          <cell r="E19">
            <v>350</v>
          </cell>
          <cell r="H19">
            <v>75</v>
          </cell>
          <cell r="K19">
            <v>24</v>
          </cell>
          <cell r="N19">
            <v>1</v>
          </cell>
          <cell r="Q19">
            <v>59.6</v>
          </cell>
        </row>
        <row r="20">
          <cell r="E20">
            <v>0.54</v>
          </cell>
          <cell r="H20">
            <v>75</v>
          </cell>
          <cell r="K20">
            <v>24</v>
          </cell>
          <cell r="N20">
            <v>1</v>
          </cell>
          <cell r="Q20">
            <v>775810</v>
          </cell>
        </row>
        <row r="21">
          <cell r="E21">
            <v>0.71</v>
          </cell>
          <cell r="H21">
            <v>1</v>
          </cell>
          <cell r="K21">
            <v>24</v>
          </cell>
          <cell r="N21">
            <v>1</v>
          </cell>
          <cell r="Q21">
            <v>46.9</v>
          </cell>
        </row>
        <row r="22">
          <cell r="E22">
            <v>24</v>
          </cell>
          <cell r="H22">
            <v>1</v>
          </cell>
          <cell r="K22">
            <v>0.54</v>
          </cell>
          <cell r="N22">
            <v>1</v>
          </cell>
          <cell r="Q22">
            <v>107.4</v>
          </cell>
        </row>
        <row r="23">
          <cell r="E23">
            <v>24</v>
          </cell>
          <cell r="H23">
            <v>1</v>
          </cell>
          <cell r="K23">
            <v>0.71</v>
          </cell>
          <cell r="N23">
            <v>1</v>
          </cell>
          <cell r="Q23">
            <v>1376550</v>
          </cell>
        </row>
        <row r="24">
          <cell r="E24">
            <v>24</v>
          </cell>
          <cell r="H24">
            <v>1</v>
          </cell>
          <cell r="K24">
            <v>12.167999999999999</v>
          </cell>
          <cell r="N24">
            <v>1</v>
          </cell>
          <cell r="Q24">
            <v>57.4</v>
          </cell>
        </row>
        <row r="25">
          <cell r="E25">
            <v>1</v>
          </cell>
          <cell r="H25">
            <v>1</v>
          </cell>
          <cell r="K25">
            <v>10.007999999999999</v>
          </cell>
          <cell r="N25">
            <v>1</v>
          </cell>
          <cell r="Q25">
            <v>831.8</v>
          </cell>
        </row>
        <row r="26">
          <cell r="E26">
            <v>1</v>
          </cell>
          <cell r="H26">
            <v>1</v>
          </cell>
          <cell r="K26">
            <v>1</v>
          </cell>
          <cell r="N26">
            <v>82.9</v>
          </cell>
          <cell r="Q26">
            <v>10018960</v>
          </cell>
        </row>
        <row r="27">
          <cell r="B27">
            <v>1359344473.5814338</v>
          </cell>
          <cell r="E27">
            <v>1.752</v>
          </cell>
          <cell r="H27">
            <v>1</v>
          </cell>
          <cell r="K27">
            <v>1</v>
          </cell>
          <cell r="N27">
            <v>84.7</v>
          </cell>
          <cell r="Q27">
            <v>33.700000000000003</v>
          </cell>
        </row>
        <row r="28">
          <cell r="B28">
            <v>4.6900000000000004</v>
          </cell>
          <cell r="E28">
            <v>16.416</v>
          </cell>
          <cell r="H28">
            <v>1</v>
          </cell>
          <cell r="N28">
            <v>1182020</v>
          </cell>
          <cell r="Q28">
            <v>92.5</v>
          </cell>
        </row>
        <row r="29">
          <cell r="B29">
            <v>11.32</v>
          </cell>
          <cell r="E29">
            <v>1</v>
          </cell>
          <cell r="H29">
            <v>1</v>
          </cell>
          <cell r="N29">
            <v>12</v>
          </cell>
          <cell r="Q29">
            <v>1171520</v>
          </cell>
        </row>
        <row r="30">
          <cell r="B30">
            <v>0.19400000000000001</v>
          </cell>
          <cell r="E30">
            <v>72.2</v>
          </cell>
          <cell r="H30">
            <v>1</v>
          </cell>
          <cell r="K30">
            <v>1.6000000000000001E-4</v>
          </cell>
          <cell r="N30">
            <v>39.299999999999997</v>
          </cell>
          <cell r="Q30">
            <v>0</v>
          </cell>
        </row>
        <row r="31">
          <cell r="B31">
            <v>0.5</v>
          </cell>
          <cell r="E31">
            <v>73.7</v>
          </cell>
          <cell r="H31">
            <v>1</v>
          </cell>
          <cell r="K31">
            <v>7.8999999999999996E-5</v>
          </cell>
          <cell r="N31">
            <v>492869.99999999994</v>
          </cell>
          <cell r="Q31">
            <v>0</v>
          </cell>
        </row>
        <row r="32">
          <cell r="B32">
            <v>93.773582452087695</v>
          </cell>
          <cell r="E32">
            <v>667520</v>
          </cell>
          <cell r="H32">
            <v>1</v>
          </cell>
          <cell r="K32">
            <v>1.3799999999999999E-4</v>
          </cell>
          <cell r="N32">
            <v>3.9</v>
          </cell>
        </row>
        <row r="33">
          <cell r="B33">
            <v>0.5</v>
          </cell>
          <cell r="E33">
            <v>12</v>
          </cell>
          <cell r="H33">
            <v>1</v>
          </cell>
          <cell r="K33">
            <v>1.66E-4</v>
          </cell>
          <cell r="N33">
            <v>33.9</v>
          </cell>
          <cell r="Q33">
            <v>0</v>
          </cell>
        </row>
        <row r="34">
          <cell r="B34">
            <v>16.2302</v>
          </cell>
          <cell r="E34">
            <v>39.299999999999997</v>
          </cell>
          <cell r="H34">
            <v>1</v>
          </cell>
          <cell r="K34">
            <v>1.01E-3</v>
          </cell>
          <cell r="N34">
            <v>411600</v>
          </cell>
          <cell r="Q34">
            <v>0</v>
          </cell>
        </row>
        <row r="35">
          <cell r="B35">
            <v>18.776199999999999</v>
          </cell>
          <cell r="E35">
            <v>300300</v>
          </cell>
          <cell r="H35">
            <v>1</v>
          </cell>
          <cell r="K35">
            <v>1.05E-4</v>
          </cell>
          <cell r="N35">
            <v>23.9</v>
          </cell>
        </row>
        <row r="36">
          <cell r="B36">
            <v>216.108</v>
          </cell>
          <cell r="E36">
            <v>3.9</v>
          </cell>
          <cell r="H36">
            <v>1</v>
          </cell>
          <cell r="K36">
            <v>9.7E-5</v>
          </cell>
          <cell r="N36">
            <v>35.4</v>
          </cell>
          <cell r="Q36">
            <v>0</v>
          </cell>
        </row>
        <row r="37">
          <cell r="E37">
            <v>33.9</v>
          </cell>
          <cell r="H37">
            <v>1</v>
          </cell>
          <cell r="K37">
            <v>1.5699999999999999E-4</v>
          </cell>
          <cell r="N37">
            <v>471450</v>
          </cell>
          <cell r="Q37">
            <v>0</v>
          </cell>
        </row>
        <row r="38">
          <cell r="E38">
            <v>245490</v>
          </cell>
          <cell r="H38">
            <v>1</v>
          </cell>
          <cell r="K38">
            <v>1.45E-4</v>
          </cell>
          <cell r="N38">
            <v>14.4</v>
          </cell>
        </row>
        <row r="39">
          <cell r="E39">
            <v>23.9</v>
          </cell>
          <cell r="H39">
            <v>1</v>
          </cell>
          <cell r="K39">
            <v>4.0000000000000003E-5</v>
          </cell>
          <cell r="N39">
            <v>35.299999999999997</v>
          </cell>
          <cell r="Q39">
            <v>0</v>
          </cell>
        </row>
        <row r="40">
          <cell r="E40">
            <v>35.4</v>
          </cell>
          <cell r="K40">
            <v>1.35E-2</v>
          </cell>
          <cell r="N40">
            <v>450309.99999999994</v>
          </cell>
          <cell r="Q40">
            <v>0</v>
          </cell>
        </row>
        <row r="41">
          <cell r="E41">
            <v>297990</v>
          </cell>
          <cell r="K41">
            <v>3.8300000000000001E-3</v>
          </cell>
          <cell r="N41">
            <v>11.5</v>
          </cell>
        </row>
        <row r="42">
          <cell r="E42">
            <v>13.1</v>
          </cell>
          <cell r="K42">
            <v>8.0000000000000007E-5</v>
          </cell>
          <cell r="N42">
            <v>85.7</v>
          </cell>
          <cell r="Q42">
            <v>92</v>
          </cell>
        </row>
        <row r="43">
          <cell r="E43">
            <v>32</v>
          </cell>
          <cell r="K43">
            <v>9.7E-5</v>
          </cell>
          <cell r="N43">
            <v>1043980</v>
          </cell>
          <cell r="Q43">
            <v>1.03</v>
          </cell>
        </row>
        <row r="44">
          <cell r="E44">
            <v>251510</v>
          </cell>
          <cell r="K44">
            <v>1.4999999999999999E-4</v>
          </cell>
          <cell r="N44">
            <v>13.3</v>
          </cell>
          <cell r="Q44">
            <v>20.3</v>
          </cell>
        </row>
        <row r="45">
          <cell r="E45">
            <v>12.3</v>
          </cell>
          <cell r="K45">
            <v>1.6000000000000001E-4</v>
          </cell>
          <cell r="N45">
            <v>24.4</v>
          </cell>
          <cell r="Q45">
            <v>0.4</v>
          </cell>
        </row>
        <row r="46">
          <cell r="E46">
            <v>92.1</v>
          </cell>
          <cell r="K46">
            <v>1.7799999999999999E-4</v>
          </cell>
          <cell r="N46">
            <v>318290</v>
          </cell>
          <cell r="Q46">
            <v>1</v>
          </cell>
        </row>
        <row r="47">
          <cell r="E47">
            <v>670530</v>
          </cell>
          <cell r="K47">
            <v>2.1000000000000001E-4</v>
          </cell>
          <cell r="N47">
            <v>46</v>
          </cell>
          <cell r="Q47">
            <v>1</v>
          </cell>
        </row>
        <row r="48">
          <cell r="E48">
            <v>14.9</v>
          </cell>
          <cell r="K48">
            <v>5.8E-5</v>
          </cell>
          <cell r="N48">
            <v>91.9</v>
          </cell>
          <cell r="Q48">
            <v>53</v>
          </cell>
        </row>
        <row r="49">
          <cell r="E49">
            <v>27.3</v>
          </cell>
          <cell r="K49">
            <v>5.0000000000000001E-3</v>
          </cell>
          <cell r="N49">
            <v>1190210</v>
          </cell>
          <cell r="Q49">
            <v>11.77</v>
          </cell>
        </row>
        <row r="50">
          <cell r="E50">
            <v>222390</v>
          </cell>
          <cell r="K50">
            <v>8.0000000000000007E-5</v>
          </cell>
          <cell r="N50">
            <v>194.4</v>
          </cell>
          <cell r="Q50">
            <v>0.5</v>
          </cell>
        </row>
        <row r="51">
          <cell r="E51">
            <v>46</v>
          </cell>
          <cell r="K51">
            <v>1.5900000000000001E-3</v>
          </cell>
          <cell r="N51">
            <v>309.39999999999998</v>
          </cell>
          <cell r="Q51">
            <v>1</v>
          </cell>
        </row>
        <row r="52">
          <cell r="E52">
            <v>91.9</v>
          </cell>
          <cell r="K52">
            <v>0.25</v>
          </cell>
          <cell r="N52">
            <v>4090099.9999999995</v>
          </cell>
          <cell r="Q52">
            <v>1</v>
          </cell>
        </row>
        <row r="53">
          <cell r="E53">
            <v>739900</v>
          </cell>
          <cell r="K53">
            <v>0.25</v>
          </cell>
          <cell r="N53">
            <v>32.700000000000003</v>
          </cell>
        </row>
        <row r="54">
          <cell r="E54">
            <v>194.1</v>
          </cell>
          <cell r="N54">
            <v>82</v>
          </cell>
        </row>
        <row r="55">
          <cell r="E55">
            <v>309.39999999999998</v>
          </cell>
          <cell r="N55">
            <v>1044470</v>
          </cell>
        </row>
        <row r="56">
          <cell r="E56">
            <v>2573410</v>
          </cell>
          <cell r="N56">
            <v>16.899999999999999</v>
          </cell>
        </row>
        <row r="57">
          <cell r="E57">
            <v>23.8</v>
          </cell>
          <cell r="N57">
            <v>54.9</v>
          </cell>
        </row>
        <row r="58">
          <cell r="E58">
            <v>59.8</v>
          </cell>
          <cell r="N58">
            <v>688800</v>
          </cell>
          <cell r="Q58">
            <v>0.4</v>
          </cell>
        </row>
        <row r="59">
          <cell r="E59">
            <v>468580</v>
          </cell>
          <cell r="N59">
            <v>4.2</v>
          </cell>
          <cell r="Q59">
            <v>0.2</v>
          </cell>
        </row>
        <row r="60">
          <cell r="E60">
            <v>25.4</v>
          </cell>
          <cell r="N60">
            <v>37.5</v>
          </cell>
          <cell r="Q60">
            <v>2.1999999999999999E-2</v>
          </cell>
        </row>
        <row r="61">
          <cell r="E61">
            <v>82.4</v>
          </cell>
          <cell r="N61">
            <v>455070</v>
          </cell>
          <cell r="Q61">
            <v>1</v>
          </cell>
        </row>
        <row r="62">
          <cell r="E62">
            <v>630140</v>
          </cell>
          <cell r="N62">
            <v>6.5</v>
          </cell>
          <cell r="Q62">
            <v>1</v>
          </cell>
        </row>
        <row r="63">
          <cell r="E63">
            <v>4.2</v>
          </cell>
          <cell r="N63">
            <v>33.799999999999997</v>
          </cell>
          <cell r="Q63">
            <v>11.4</v>
          </cell>
        </row>
        <row r="64">
          <cell r="E64">
            <v>37.5</v>
          </cell>
          <cell r="N64">
            <v>415869.99999999994</v>
          </cell>
          <cell r="Q64">
            <v>4.7</v>
          </cell>
        </row>
        <row r="65">
          <cell r="E65">
            <v>271320</v>
          </cell>
          <cell r="N65">
            <v>5.3</v>
          </cell>
          <cell r="Q65">
            <v>0.37</v>
          </cell>
        </row>
        <row r="66">
          <cell r="E66">
            <v>6.5</v>
          </cell>
          <cell r="N66">
            <v>30.2</v>
          </cell>
          <cell r="Q66">
            <v>1</v>
          </cell>
        </row>
        <row r="67">
          <cell r="E67">
            <v>33.799999999999997</v>
          </cell>
          <cell r="N67">
            <v>370510</v>
          </cell>
          <cell r="Q67">
            <v>1</v>
          </cell>
        </row>
        <row r="68">
          <cell r="E68">
            <v>250249.99999999997</v>
          </cell>
          <cell r="N68">
            <v>7.2</v>
          </cell>
          <cell r="Q68">
            <v>0.25</v>
          </cell>
        </row>
        <row r="69">
          <cell r="E69">
            <v>5.3</v>
          </cell>
          <cell r="N69">
            <v>27.2</v>
          </cell>
          <cell r="Q69">
            <v>0.25</v>
          </cell>
        </row>
        <row r="70">
          <cell r="E70">
            <v>30.2</v>
          </cell>
          <cell r="N70">
            <v>338800</v>
          </cell>
        </row>
        <row r="71">
          <cell r="E71">
            <v>222530</v>
          </cell>
          <cell r="N71">
            <v>99.3</v>
          </cell>
        </row>
        <row r="72">
          <cell r="E72">
            <v>5.8</v>
          </cell>
          <cell r="N72">
            <v>103.1</v>
          </cell>
        </row>
        <row r="73">
          <cell r="E73">
            <v>21.8</v>
          </cell>
          <cell r="N73">
            <v>1435420</v>
          </cell>
        </row>
        <row r="74">
          <cell r="E74">
            <v>164780</v>
          </cell>
          <cell r="N74">
            <v>76.900000000000006</v>
          </cell>
        </row>
        <row r="75">
          <cell r="E75">
            <v>111.4</v>
          </cell>
          <cell r="N75">
            <v>59.9</v>
          </cell>
        </row>
        <row r="76">
          <cell r="E76">
            <v>115.7</v>
          </cell>
          <cell r="N76">
            <v>874300</v>
          </cell>
        </row>
        <row r="77">
          <cell r="E77">
            <v>1043840</v>
          </cell>
          <cell r="N77">
            <v>28.7</v>
          </cell>
        </row>
        <row r="78">
          <cell r="E78">
            <v>66.7</v>
          </cell>
          <cell r="N78">
            <v>31.7</v>
          </cell>
        </row>
        <row r="79">
          <cell r="E79">
            <v>51.9</v>
          </cell>
          <cell r="N79">
            <v>437500</v>
          </cell>
        </row>
        <row r="80">
          <cell r="E80">
            <v>503370</v>
          </cell>
          <cell r="N80">
            <v>57.3</v>
          </cell>
        </row>
        <row r="81">
          <cell r="E81">
            <v>32.1</v>
          </cell>
          <cell r="N81">
            <v>141.80000000000001</v>
          </cell>
        </row>
        <row r="82">
          <cell r="E82">
            <v>35.4</v>
          </cell>
          <cell r="N82">
            <v>1807750.0000000002</v>
          </cell>
        </row>
        <row r="83">
          <cell r="E83">
            <v>315210</v>
          </cell>
          <cell r="N83">
            <v>45.2</v>
          </cell>
        </row>
        <row r="84">
          <cell r="E84">
            <v>51.7</v>
          </cell>
          <cell r="N84">
            <v>64.8</v>
          </cell>
        </row>
        <row r="85">
          <cell r="E85">
            <v>127.8</v>
          </cell>
          <cell r="N85">
            <v>866040</v>
          </cell>
        </row>
        <row r="86">
          <cell r="E86">
            <v>1003170</v>
          </cell>
          <cell r="N86">
            <v>34.799999999999997</v>
          </cell>
        </row>
        <row r="87">
          <cell r="E87">
            <v>45.2</v>
          </cell>
          <cell r="N87">
            <v>88.5</v>
          </cell>
        </row>
        <row r="88">
          <cell r="E88">
            <v>64.8</v>
          </cell>
          <cell r="N88">
            <v>1126230</v>
          </cell>
        </row>
        <row r="89">
          <cell r="E89">
            <v>548520</v>
          </cell>
          <cell r="N89">
            <v>27.5</v>
          </cell>
        </row>
        <row r="90">
          <cell r="E90">
            <v>28.8</v>
          </cell>
          <cell r="N90">
            <v>54.2</v>
          </cell>
        </row>
        <row r="91">
          <cell r="E91">
            <v>73.2</v>
          </cell>
          <cell r="N91">
            <v>702730</v>
          </cell>
        </row>
        <row r="92">
          <cell r="E92">
            <v>572880</v>
          </cell>
          <cell r="N92">
            <v>25.3</v>
          </cell>
        </row>
        <row r="93">
          <cell r="E93">
            <v>27.3</v>
          </cell>
          <cell r="N93">
            <v>40.5</v>
          </cell>
        </row>
        <row r="94">
          <cell r="E94">
            <v>53.9</v>
          </cell>
          <cell r="N94">
            <v>535080</v>
          </cell>
        </row>
        <row r="95">
          <cell r="E95">
            <v>434630</v>
          </cell>
          <cell r="N95">
            <v>34.9</v>
          </cell>
        </row>
        <row r="96">
          <cell r="E96">
            <v>25.3</v>
          </cell>
          <cell r="N96">
            <v>94.2</v>
          </cell>
        </row>
        <row r="97">
          <cell r="E97">
            <v>40.5</v>
          </cell>
          <cell r="N97">
            <v>1194270</v>
          </cell>
        </row>
        <row r="98">
          <cell r="E98">
            <v>336630</v>
          </cell>
        </row>
        <row r="99">
          <cell r="E99">
            <v>29.7</v>
          </cell>
        </row>
        <row r="100">
          <cell r="E100">
            <v>80.3</v>
          </cell>
        </row>
        <row r="101">
          <cell r="E101">
            <v>624470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
          <cell r="B2">
            <v>1.0000000000000001E-5</v>
          </cell>
          <cell r="E2">
            <v>5</v>
          </cell>
          <cell r="H2">
            <v>5</v>
          </cell>
          <cell r="K2">
            <v>5</v>
          </cell>
          <cell r="N2">
            <v>0.5</v>
          </cell>
          <cell r="Q2">
            <v>0.5</v>
          </cell>
        </row>
        <row r="3">
          <cell r="B3">
            <v>0.5</v>
          </cell>
          <cell r="E3">
            <v>15</v>
          </cell>
          <cell r="H3">
            <v>15</v>
          </cell>
          <cell r="K3">
            <v>15</v>
          </cell>
          <cell r="N3">
            <v>0.5</v>
          </cell>
          <cell r="Q3">
            <v>0.5</v>
          </cell>
        </row>
        <row r="4">
          <cell r="B4">
            <v>2</v>
          </cell>
          <cell r="E4">
            <v>20</v>
          </cell>
          <cell r="H4">
            <v>20</v>
          </cell>
          <cell r="K4">
            <v>20</v>
          </cell>
          <cell r="N4">
            <v>0.5</v>
          </cell>
          <cell r="Q4">
            <v>0.5</v>
          </cell>
        </row>
        <row r="5">
          <cell r="E5">
            <v>20</v>
          </cell>
          <cell r="H5">
            <v>20</v>
          </cell>
          <cell r="K5">
            <v>20</v>
          </cell>
          <cell r="N5">
            <v>0.5</v>
          </cell>
          <cell r="Q5">
            <v>0.5</v>
          </cell>
        </row>
        <row r="6">
          <cell r="B6">
            <v>2</v>
          </cell>
          <cell r="E6">
            <v>5</v>
          </cell>
          <cell r="H6">
            <v>5</v>
          </cell>
          <cell r="K6">
            <v>5</v>
          </cell>
          <cell r="N6">
            <v>0.5</v>
          </cell>
          <cell r="Q6">
            <v>0.5</v>
          </cell>
        </row>
        <row r="7">
          <cell r="B7">
            <v>5.5000000000000002E-5</v>
          </cell>
          <cell r="E7">
            <v>10</v>
          </cell>
          <cell r="H7">
            <v>10</v>
          </cell>
          <cell r="K7">
            <v>10</v>
          </cell>
          <cell r="N7">
            <v>0.5</v>
          </cell>
          <cell r="Q7">
            <v>0.5</v>
          </cell>
        </row>
        <row r="8">
          <cell r="B8">
            <v>5</v>
          </cell>
          <cell r="E8">
            <v>2005.2083333333333</v>
          </cell>
          <cell r="H8">
            <v>182.29166666666666</v>
          </cell>
          <cell r="K8">
            <v>2005.2083333333333</v>
          </cell>
          <cell r="N8">
            <v>0.5</v>
          </cell>
          <cell r="Q8">
            <v>0.5</v>
          </cell>
        </row>
        <row r="9">
          <cell r="B9">
            <v>0.5</v>
          </cell>
          <cell r="E9">
            <v>4400</v>
          </cell>
          <cell r="H9">
            <v>400</v>
          </cell>
          <cell r="K9">
            <v>4400</v>
          </cell>
          <cell r="N9">
            <v>0.5</v>
          </cell>
          <cell r="Q9">
            <v>0.5</v>
          </cell>
        </row>
        <row r="10">
          <cell r="B10">
            <v>5000</v>
          </cell>
          <cell r="E10">
            <v>55</v>
          </cell>
          <cell r="H10">
            <v>55</v>
          </cell>
          <cell r="K10">
            <v>55</v>
          </cell>
          <cell r="N10">
            <v>0.5</v>
          </cell>
          <cell r="Q10">
            <v>0.5</v>
          </cell>
        </row>
        <row r="11">
          <cell r="B11">
            <v>55</v>
          </cell>
          <cell r="E11">
            <v>55</v>
          </cell>
          <cell r="H11">
            <v>55</v>
          </cell>
          <cell r="K11">
            <v>55</v>
          </cell>
          <cell r="N11">
            <v>0.5</v>
          </cell>
          <cell r="Q11">
            <v>0.5</v>
          </cell>
        </row>
        <row r="12">
          <cell r="B12">
            <v>0.5</v>
          </cell>
          <cell r="E12">
            <v>60500</v>
          </cell>
          <cell r="H12">
            <v>5500</v>
          </cell>
          <cell r="K12">
            <v>60500</v>
          </cell>
          <cell r="N12">
            <v>0.5</v>
          </cell>
          <cell r="Q12">
            <v>55</v>
          </cell>
        </row>
        <row r="13">
          <cell r="B13">
            <v>55</v>
          </cell>
          <cell r="E13">
            <v>5</v>
          </cell>
          <cell r="H13">
            <v>2</v>
          </cell>
          <cell r="K13">
            <v>5</v>
          </cell>
          <cell r="N13">
            <v>0.5</v>
          </cell>
          <cell r="Q13">
            <v>55</v>
          </cell>
        </row>
        <row r="14">
          <cell r="B14">
            <v>5</v>
          </cell>
          <cell r="E14">
            <v>5</v>
          </cell>
          <cell r="H14">
            <v>2</v>
          </cell>
          <cell r="K14">
            <v>5</v>
          </cell>
          <cell r="N14">
            <v>0.5</v>
          </cell>
          <cell r="Q14">
            <v>60500</v>
          </cell>
        </row>
        <row r="15">
          <cell r="B15">
            <v>5</v>
          </cell>
          <cell r="E15">
            <v>5500</v>
          </cell>
          <cell r="H15">
            <v>800</v>
          </cell>
          <cell r="K15">
            <v>5500</v>
          </cell>
          <cell r="N15">
            <v>0.5</v>
          </cell>
          <cell r="Q15">
            <v>55</v>
          </cell>
        </row>
        <row r="16">
          <cell r="B16">
            <v>5</v>
          </cell>
          <cell r="E16">
            <v>55000</v>
          </cell>
          <cell r="H16">
            <v>2</v>
          </cell>
          <cell r="K16">
            <v>55</v>
          </cell>
          <cell r="N16">
            <v>0.5</v>
          </cell>
          <cell r="Q16">
            <v>55</v>
          </cell>
        </row>
        <row r="17">
          <cell r="B17">
            <v>2</v>
          </cell>
          <cell r="E17">
            <v>55</v>
          </cell>
          <cell r="H17">
            <v>2</v>
          </cell>
          <cell r="K17">
            <v>55</v>
          </cell>
          <cell r="N17">
            <v>0.5</v>
          </cell>
          <cell r="Q17">
            <v>60500</v>
          </cell>
        </row>
        <row r="18">
          <cell r="B18">
            <v>0.5</v>
          </cell>
          <cell r="E18">
            <v>55</v>
          </cell>
          <cell r="H18">
            <v>5</v>
          </cell>
          <cell r="K18">
            <v>55</v>
          </cell>
          <cell r="N18">
            <v>0.5</v>
          </cell>
          <cell r="Q18">
            <v>55</v>
          </cell>
        </row>
        <row r="19">
          <cell r="B19">
            <v>70</v>
          </cell>
          <cell r="E19">
            <v>55</v>
          </cell>
          <cell r="H19">
            <v>5</v>
          </cell>
          <cell r="K19">
            <v>5</v>
          </cell>
          <cell r="N19">
            <v>0.5</v>
          </cell>
          <cell r="Q19">
            <v>55</v>
          </cell>
        </row>
        <row r="20">
          <cell r="B20">
            <v>5</v>
          </cell>
          <cell r="E20">
            <v>2</v>
          </cell>
          <cell r="H20">
            <v>5</v>
          </cell>
          <cell r="K20">
            <v>5</v>
          </cell>
          <cell r="N20">
            <v>0.5</v>
          </cell>
          <cell r="Q20">
            <v>60500</v>
          </cell>
        </row>
        <row r="21">
          <cell r="B21">
            <v>2</v>
          </cell>
          <cell r="E21">
            <v>2</v>
          </cell>
          <cell r="H21">
            <v>5</v>
          </cell>
          <cell r="K21">
            <v>5</v>
          </cell>
          <cell r="N21">
            <v>0.5</v>
          </cell>
          <cell r="Q21">
            <v>55</v>
          </cell>
        </row>
        <row r="22">
          <cell r="B22">
            <v>0.5</v>
          </cell>
          <cell r="E22">
            <v>5</v>
          </cell>
          <cell r="H22">
            <v>5</v>
          </cell>
          <cell r="K22">
            <v>2</v>
          </cell>
          <cell r="N22">
            <v>0.5</v>
          </cell>
          <cell r="Q22">
            <v>55</v>
          </cell>
        </row>
        <row r="23">
          <cell r="B23">
            <v>2</v>
          </cell>
          <cell r="E23">
            <v>5</v>
          </cell>
          <cell r="H23">
            <v>5</v>
          </cell>
          <cell r="K23">
            <v>2</v>
          </cell>
          <cell r="N23">
            <v>0.5</v>
          </cell>
          <cell r="Q23">
            <v>60500</v>
          </cell>
        </row>
        <row r="24">
          <cell r="B24">
            <v>2</v>
          </cell>
          <cell r="E24">
            <v>5</v>
          </cell>
          <cell r="H24">
            <v>2</v>
          </cell>
          <cell r="K24">
            <v>10</v>
          </cell>
          <cell r="N24">
            <v>0.5</v>
          </cell>
          <cell r="Q24">
            <v>55</v>
          </cell>
        </row>
        <row r="25">
          <cell r="B25">
            <v>2</v>
          </cell>
          <cell r="E25">
            <v>2</v>
          </cell>
          <cell r="H25">
            <v>2</v>
          </cell>
          <cell r="K25">
            <v>5</v>
          </cell>
          <cell r="N25">
            <v>0.5</v>
          </cell>
          <cell r="Q25">
            <v>55</v>
          </cell>
        </row>
        <row r="26">
          <cell r="B26">
            <v>0.3092012558837392</v>
          </cell>
          <cell r="E26">
            <v>2</v>
          </cell>
          <cell r="H26">
            <v>2</v>
          </cell>
          <cell r="K26">
            <v>2</v>
          </cell>
          <cell r="N26">
            <v>55</v>
          </cell>
          <cell r="Q26">
            <v>60500</v>
          </cell>
        </row>
        <row r="27">
          <cell r="B27">
            <v>309803863.88015682</v>
          </cell>
          <cell r="E27">
            <v>5</v>
          </cell>
          <cell r="H27">
            <v>2</v>
          </cell>
          <cell r="K27">
            <v>2</v>
          </cell>
          <cell r="N27">
            <v>55</v>
          </cell>
          <cell r="Q27">
            <v>55</v>
          </cell>
        </row>
        <row r="28">
          <cell r="B28">
            <v>5</v>
          </cell>
          <cell r="E28">
            <v>10</v>
          </cell>
          <cell r="H28">
            <v>2</v>
          </cell>
          <cell r="N28">
            <v>60500</v>
          </cell>
          <cell r="Q28">
            <v>55</v>
          </cell>
        </row>
        <row r="29">
          <cell r="B29">
            <v>11.32</v>
          </cell>
          <cell r="E29">
            <v>0.5</v>
          </cell>
          <cell r="H29">
            <v>2</v>
          </cell>
          <cell r="N29">
            <v>55</v>
          </cell>
          <cell r="Q29">
            <v>60500</v>
          </cell>
        </row>
        <row r="30">
          <cell r="B30">
            <v>0.28539705780000002</v>
          </cell>
          <cell r="E30">
            <v>55</v>
          </cell>
          <cell r="H30">
            <v>2</v>
          </cell>
          <cell r="K30">
            <v>1.35E-2</v>
          </cell>
          <cell r="N30">
            <v>55</v>
          </cell>
          <cell r="Q30">
            <v>55</v>
          </cell>
        </row>
        <row r="31">
          <cell r="B31">
            <v>0.25</v>
          </cell>
          <cell r="E31">
            <v>55</v>
          </cell>
          <cell r="H31">
            <v>2</v>
          </cell>
          <cell r="K31">
            <v>1.35E-2</v>
          </cell>
          <cell r="N31">
            <v>60500</v>
          </cell>
          <cell r="Q31">
            <v>55</v>
          </cell>
        </row>
        <row r="32">
          <cell r="B32">
            <v>57.143694778447667</v>
          </cell>
          <cell r="E32">
            <v>60500</v>
          </cell>
          <cell r="H32">
            <v>2</v>
          </cell>
          <cell r="K32">
            <v>1.35E-2</v>
          </cell>
          <cell r="N32">
            <v>55</v>
          </cell>
          <cell r="Q32">
            <v>60500</v>
          </cell>
        </row>
        <row r="33">
          <cell r="B33">
            <v>5</v>
          </cell>
          <cell r="E33">
            <v>55</v>
          </cell>
          <cell r="H33">
            <v>2</v>
          </cell>
          <cell r="K33">
            <v>1.35E-2</v>
          </cell>
          <cell r="N33">
            <v>55</v>
          </cell>
          <cell r="Q33">
            <v>55</v>
          </cell>
        </row>
        <row r="34">
          <cell r="B34">
            <v>15.0235</v>
          </cell>
          <cell r="E34">
            <v>55</v>
          </cell>
          <cell r="H34">
            <v>2</v>
          </cell>
          <cell r="K34">
            <v>1.35E-2</v>
          </cell>
          <cell r="N34">
            <v>60500</v>
          </cell>
          <cell r="Q34">
            <v>55</v>
          </cell>
        </row>
        <row r="35">
          <cell r="B35">
            <v>18.252600000000001</v>
          </cell>
          <cell r="E35">
            <v>60500</v>
          </cell>
          <cell r="H35">
            <v>2</v>
          </cell>
          <cell r="K35">
            <v>1.35E-2</v>
          </cell>
          <cell r="N35">
            <v>55</v>
          </cell>
          <cell r="Q35">
            <v>60500</v>
          </cell>
        </row>
        <row r="36">
          <cell r="B36">
            <v>207.33869999999999</v>
          </cell>
          <cell r="E36">
            <v>55</v>
          </cell>
          <cell r="H36">
            <v>2</v>
          </cell>
          <cell r="K36">
            <v>1.35E-2</v>
          </cell>
          <cell r="N36">
            <v>55</v>
          </cell>
          <cell r="Q36">
            <v>55</v>
          </cell>
        </row>
        <row r="37">
          <cell r="E37">
            <v>55</v>
          </cell>
          <cell r="H37">
            <v>2</v>
          </cell>
          <cell r="K37">
            <v>1.35E-2</v>
          </cell>
          <cell r="N37">
            <v>60500</v>
          </cell>
          <cell r="Q37">
            <v>55</v>
          </cell>
        </row>
        <row r="38">
          <cell r="B38">
            <v>5</v>
          </cell>
          <cell r="E38">
            <v>60500</v>
          </cell>
          <cell r="H38">
            <v>0.5</v>
          </cell>
          <cell r="K38">
            <v>1.35E-2</v>
          </cell>
          <cell r="N38">
            <v>55</v>
          </cell>
          <cell r="Q38">
            <v>60500</v>
          </cell>
        </row>
        <row r="39">
          <cell r="E39">
            <v>55</v>
          </cell>
          <cell r="H39">
            <v>0.5</v>
          </cell>
          <cell r="K39">
            <v>1.35E-2</v>
          </cell>
          <cell r="N39">
            <v>55</v>
          </cell>
          <cell r="Q39">
            <v>55</v>
          </cell>
        </row>
        <row r="40">
          <cell r="E40">
            <v>55</v>
          </cell>
          <cell r="K40">
            <v>1.35E-2</v>
          </cell>
          <cell r="N40">
            <v>60500</v>
          </cell>
          <cell r="Q40">
            <v>55</v>
          </cell>
        </row>
        <row r="41">
          <cell r="E41">
            <v>60500</v>
          </cell>
          <cell r="K41">
            <v>1.35E-2</v>
          </cell>
          <cell r="N41">
            <v>55</v>
          </cell>
          <cell r="Q41">
            <v>60500</v>
          </cell>
        </row>
        <row r="42">
          <cell r="E42">
            <v>55</v>
          </cell>
          <cell r="K42">
            <v>1.35E-2</v>
          </cell>
          <cell r="N42">
            <v>55</v>
          </cell>
          <cell r="Q42">
            <v>5</v>
          </cell>
        </row>
        <row r="43">
          <cell r="E43">
            <v>55</v>
          </cell>
          <cell r="K43">
            <v>1.35E-2</v>
          </cell>
          <cell r="N43">
            <v>60500</v>
          </cell>
          <cell r="Q43">
            <v>1.03</v>
          </cell>
        </row>
        <row r="44">
          <cell r="E44">
            <v>60500</v>
          </cell>
          <cell r="K44">
            <v>1.35E-2</v>
          </cell>
          <cell r="N44">
            <v>55</v>
          </cell>
          <cell r="Q44">
            <v>5</v>
          </cell>
        </row>
        <row r="45">
          <cell r="E45">
            <v>55</v>
          </cell>
          <cell r="K45">
            <v>1.35E-2</v>
          </cell>
          <cell r="N45">
            <v>55</v>
          </cell>
          <cell r="Q45">
            <v>5</v>
          </cell>
        </row>
        <row r="46">
          <cell r="E46">
            <v>55</v>
          </cell>
          <cell r="K46">
            <v>1.35E-2</v>
          </cell>
          <cell r="N46">
            <v>60500</v>
          </cell>
          <cell r="Q46">
            <v>5</v>
          </cell>
        </row>
        <row r="47">
          <cell r="E47">
            <v>60500</v>
          </cell>
          <cell r="K47">
            <v>1.35E-2</v>
          </cell>
          <cell r="N47">
            <v>55</v>
          </cell>
          <cell r="Q47">
            <v>5</v>
          </cell>
        </row>
        <row r="48">
          <cell r="E48">
            <v>55</v>
          </cell>
          <cell r="K48">
            <v>1.35E-2</v>
          </cell>
          <cell r="N48">
            <v>55</v>
          </cell>
          <cell r="Q48">
            <v>5</v>
          </cell>
        </row>
        <row r="49">
          <cell r="E49">
            <v>55</v>
          </cell>
          <cell r="K49">
            <v>1.35E-2</v>
          </cell>
          <cell r="N49">
            <v>60500</v>
          </cell>
          <cell r="Q49">
            <v>5</v>
          </cell>
        </row>
        <row r="50">
          <cell r="E50">
            <v>60500</v>
          </cell>
          <cell r="K50">
            <v>1.35E-2</v>
          </cell>
          <cell r="N50">
            <v>55</v>
          </cell>
          <cell r="Q50">
            <v>5</v>
          </cell>
        </row>
        <row r="51">
          <cell r="E51">
            <v>55</v>
          </cell>
          <cell r="K51">
            <v>1.35E-2</v>
          </cell>
          <cell r="N51">
            <v>55</v>
          </cell>
          <cell r="Q51">
            <v>5</v>
          </cell>
        </row>
        <row r="52">
          <cell r="E52">
            <v>55</v>
          </cell>
          <cell r="K52">
            <v>1.35E-2</v>
          </cell>
          <cell r="N52">
            <v>60500</v>
          </cell>
          <cell r="Q52">
            <v>5</v>
          </cell>
        </row>
        <row r="53">
          <cell r="E53">
            <v>60500</v>
          </cell>
          <cell r="K53">
            <v>1.35E-2</v>
          </cell>
          <cell r="N53">
            <v>55</v>
          </cell>
          <cell r="Q53">
            <v>5</v>
          </cell>
        </row>
        <row r="54">
          <cell r="E54">
            <v>55</v>
          </cell>
          <cell r="N54">
            <v>55</v>
          </cell>
          <cell r="Q54">
            <v>5</v>
          </cell>
        </row>
        <row r="55">
          <cell r="E55">
            <v>55</v>
          </cell>
          <cell r="N55">
            <v>60500</v>
          </cell>
        </row>
        <row r="56">
          <cell r="E56">
            <v>60500</v>
          </cell>
          <cell r="N56">
            <v>55</v>
          </cell>
          <cell r="Q56">
            <v>5</v>
          </cell>
        </row>
        <row r="57">
          <cell r="E57">
            <v>55</v>
          </cell>
          <cell r="N57">
            <v>55</v>
          </cell>
          <cell r="Q57">
            <v>5</v>
          </cell>
        </row>
        <row r="58">
          <cell r="E58">
            <v>55</v>
          </cell>
          <cell r="N58">
            <v>60500</v>
          </cell>
          <cell r="Q58">
            <v>5</v>
          </cell>
        </row>
        <row r="59">
          <cell r="E59">
            <v>60500</v>
          </cell>
          <cell r="N59">
            <v>55</v>
          </cell>
          <cell r="Q59">
            <v>5</v>
          </cell>
        </row>
        <row r="60">
          <cell r="E60">
            <v>55</v>
          </cell>
          <cell r="N60">
            <v>55</v>
          </cell>
          <cell r="Q60">
            <v>5</v>
          </cell>
        </row>
        <row r="61">
          <cell r="E61">
            <v>55</v>
          </cell>
          <cell r="N61">
            <v>60500</v>
          </cell>
          <cell r="Q61">
            <v>5</v>
          </cell>
        </row>
        <row r="62">
          <cell r="E62">
            <v>60500</v>
          </cell>
          <cell r="N62">
            <v>55</v>
          </cell>
          <cell r="Q62">
            <v>5</v>
          </cell>
        </row>
        <row r="63">
          <cell r="E63">
            <v>55</v>
          </cell>
          <cell r="N63">
            <v>55</v>
          </cell>
          <cell r="Q63">
            <v>5</v>
          </cell>
        </row>
        <row r="64">
          <cell r="E64">
            <v>55</v>
          </cell>
          <cell r="N64">
            <v>60500</v>
          </cell>
          <cell r="Q64">
            <v>5</v>
          </cell>
        </row>
        <row r="65">
          <cell r="E65">
            <v>60500</v>
          </cell>
          <cell r="N65">
            <v>55</v>
          </cell>
          <cell r="Q65">
            <v>5</v>
          </cell>
        </row>
        <row r="66">
          <cell r="E66">
            <v>55</v>
          </cell>
          <cell r="N66">
            <v>55</v>
          </cell>
          <cell r="Q66">
            <v>5</v>
          </cell>
        </row>
        <row r="67">
          <cell r="E67">
            <v>55</v>
          </cell>
          <cell r="N67">
            <v>60500</v>
          </cell>
          <cell r="Q67">
            <v>5</v>
          </cell>
        </row>
        <row r="68">
          <cell r="E68">
            <v>60500</v>
          </cell>
          <cell r="N68">
            <v>55</v>
          </cell>
          <cell r="Q68">
            <v>0.5</v>
          </cell>
        </row>
        <row r="69">
          <cell r="E69">
            <v>55</v>
          </cell>
          <cell r="N69">
            <v>55</v>
          </cell>
          <cell r="Q69">
            <v>0.5</v>
          </cell>
        </row>
        <row r="70">
          <cell r="E70">
            <v>55</v>
          </cell>
          <cell r="N70">
            <v>60500</v>
          </cell>
          <cell r="Q70">
            <v>5</v>
          </cell>
        </row>
        <row r="71">
          <cell r="E71">
            <v>60500</v>
          </cell>
          <cell r="N71">
            <v>55</v>
          </cell>
          <cell r="Q71">
            <v>5</v>
          </cell>
        </row>
        <row r="72">
          <cell r="E72">
            <v>55</v>
          </cell>
          <cell r="N72">
            <v>55</v>
          </cell>
          <cell r="Q72">
            <v>5</v>
          </cell>
        </row>
        <row r="73">
          <cell r="E73">
            <v>55</v>
          </cell>
          <cell r="N73">
            <v>60500</v>
          </cell>
          <cell r="Q73">
            <v>5</v>
          </cell>
        </row>
        <row r="74">
          <cell r="E74">
            <v>60500</v>
          </cell>
          <cell r="N74">
            <v>55</v>
          </cell>
          <cell r="Q74">
            <v>5</v>
          </cell>
        </row>
        <row r="75">
          <cell r="E75">
            <v>55</v>
          </cell>
          <cell r="N75">
            <v>55</v>
          </cell>
          <cell r="Q75">
            <v>5</v>
          </cell>
        </row>
        <row r="76">
          <cell r="E76">
            <v>55</v>
          </cell>
          <cell r="N76">
            <v>60500</v>
          </cell>
          <cell r="Q76">
            <v>5</v>
          </cell>
        </row>
        <row r="77">
          <cell r="E77">
            <v>60500</v>
          </cell>
          <cell r="N77">
            <v>55</v>
          </cell>
          <cell r="Q77">
            <v>5</v>
          </cell>
        </row>
        <row r="78">
          <cell r="E78">
            <v>55</v>
          </cell>
          <cell r="N78">
            <v>55</v>
          </cell>
          <cell r="Q78">
            <v>5</v>
          </cell>
        </row>
        <row r="79">
          <cell r="E79">
            <v>55</v>
          </cell>
          <cell r="N79">
            <v>60500</v>
          </cell>
          <cell r="Q79">
            <v>5</v>
          </cell>
        </row>
        <row r="80">
          <cell r="E80">
            <v>60500</v>
          </cell>
          <cell r="N80">
            <v>55</v>
          </cell>
          <cell r="Q80">
            <v>5</v>
          </cell>
        </row>
        <row r="81">
          <cell r="E81">
            <v>55</v>
          </cell>
          <cell r="N81">
            <v>55</v>
          </cell>
          <cell r="Q81">
            <v>5</v>
          </cell>
        </row>
        <row r="82">
          <cell r="E82">
            <v>55</v>
          </cell>
          <cell r="N82">
            <v>60500</v>
          </cell>
          <cell r="Q82">
            <v>5</v>
          </cell>
        </row>
        <row r="83">
          <cell r="E83">
            <v>60500</v>
          </cell>
          <cell r="N83">
            <v>55</v>
          </cell>
          <cell r="Q83">
            <v>5</v>
          </cell>
        </row>
        <row r="84">
          <cell r="E84">
            <v>55</v>
          </cell>
          <cell r="N84">
            <v>55</v>
          </cell>
          <cell r="Q84">
            <v>5</v>
          </cell>
        </row>
        <row r="85">
          <cell r="E85">
            <v>55</v>
          </cell>
          <cell r="N85">
            <v>60500</v>
          </cell>
          <cell r="Q85">
            <v>5</v>
          </cell>
        </row>
        <row r="86">
          <cell r="E86">
            <v>60500</v>
          </cell>
          <cell r="N86">
            <v>55</v>
          </cell>
          <cell r="Q86">
            <v>5</v>
          </cell>
        </row>
        <row r="87">
          <cell r="E87">
            <v>55</v>
          </cell>
          <cell r="N87">
            <v>55</v>
          </cell>
          <cell r="Q87">
            <v>5</v>
          </cell>
        </row>
        <row r="88">
          <cell r="E88">
            <v>55</v>
          </cell>
          <cell r="N88">
            <v>60500</v>
          </cell>
          <cell r="Q88">
            <v>5</v>
          </cell>
        </row>
        <row r="89">
          <cell r="E89">
            <v>60500</v>
          </cell>
          <cell r="N89">
            <v>55</v>
          </cell>
          <cell r="Q89">
            <v>5</v>
          </cell>
        </row>
        <row r="90">
          <cell r="E90">
            <v>55</v>
          </cell>
          <cell r="N90">
            <v>55</v>
          </cell>
        </row>
        <row r="91">
          <cell r="E91">
            <v>55</v>
          </cell>
          <cell r="N91">
            <v>60500</v>
          </cell>
        </row>
        <row r="92">
          <cell r="E92">
            <v>60500</v>
          </cell>
          <cell r="N92">
            <v>55</v>
          </cell>
        </row>
        <row r="93">
          <cell r="E93">
            <v>55</v>
          </cell>
          <cell r="N93">
            <v>55</v>
          </cell>
        </row>
        <row r="94">
          <cell r="E94">
            <v>55</v>
          </cell>
          <cell r="N94">
            <v>60500</v>
          </cell>
        </row>
        <row r="95">
          <cell r="E95">
            <v>60500</v>
          </cell>
          <cell r="N95">
            <v>55</v>
          </cell>
        </row>
        <row r="96">
          <cell r="E96">
            <v>55</v>
          </cell>
          <cell r="N96">
            <v>55</v>
          </cell>
        </row>
        <row r="97">
          <cell r="E97">
            <v>55</v>
          </cell>
          <cell r="N97">
            <v>60500</v>
          </cell>
        </row>
        <row r="98">
          <cell r="E98">
            <v>60500</v>
          </cell>
        </row>
        <row r="99">
          <cell r="E99">
            <v>55</v>
          </cell>
        </row>
        <row r="100">
          <cell r="E100">
            <v>55</v>
          </cell>
        </row>
        <row r="101">
          <cell r="E101">
            <v>60500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901CB-FBEE-4833-B89C-B23AC408141E}">
  <dimension ref="B1:N21"/>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9.140625" style="3"/>
    <col min="2" max="2" width="129.7109375" style="15" customWidth="1"/>
    <col min="3" max="257" width="9.140625" style="3"/>
    <col min="258" max="258" width="118.85546875" style="3" bestFit="1" customWidth="1"/>
    <col min="259" max="513" width="9.140625" style="3"/>
    <col min="514" max="514" width="118.85546875" style="3" bestFit="1" customWidth="1"/>
    <col min="515" max="769" width="9.140625" style="3"/>
    <col min="770" max="770" width="118.85546875" style="3" bestFit="1" customWidth="1"/>
    <col min="771" max="1025" width="9.140625" style="3"/>
    <col min="1026" max="1026" width="118.85546875" style="3" bestFit="1" customWidth="1"/>
    <col min="1027" max="1281" width="9.140625" style="3"/>
    <col min="1282" max="1282" width="118.85546875" style="3" bestFit="1" customWidth="1"/>
    <col min="1283" max="1537" width="9.140625" style="3"/>
    <col min="1538" max="1538" width="118.85546875" style="3" bestFit="1" customWidth="1"/>
    <col min="1539" max="1793" width="9.140625" style="3"/>
    <col min="1794" max="1794" width="118.85546875" style="3" bestFit="1" customWidth="1"/>
    <col min="1795" max="2049" width="9.140625" style="3"/>
    <col min="2050" max="2050" width="118.85546875" style="3" bestFit="1" customWidth="1"/>
    <col min="2051" max="2305" width="9.140625" style="3"/>
    <col min="2306" max="2306" width="118.85546875" style="3" bestFit="1" customWidth="1"/>
    <col min="2307" max="2561" width="9.140625" style="3"/>
    <col min="2562" max="2562" width="118.85546875" style="3" bestFit="1" customWidth="1"/>
    <col min="2563" max="2817" width="9.140625" style="3"/>
    <col min="2818" max="2818" width="118.85546875" style="3" bestFit="1" customWidth="1"/>
    <col min="2819" max="3073" width="9.140625" style="3"/>
    <col min="3074" max="3074" width="118.85546875" style="3" bestFit="1" customWidth="1"/>
    <col min="3075" max="3329" width="9.140625" style="3"/>
    <col min="3330" max="3330" width="118.85546875" style="3" bestFit="1" customWidth="1"/>
    <col min="3331" max="3585" width="9.140625" style="3"/>
    <col min="3586" max="3586" width="118.85546875" style="3" bestFit="1" customWidth="1"/>
    <col min="3587" max="3841" width="9.140625" style="3"/>
    <col min="3842" max="3842" width="118.85546875" style="3" bestFit="1" customWidth="1"/>
    <col min="3843" max="4097" width="9.140625" style="3"/>
    <col min="4098" max="4098" width="118.85546875" style="3" bestFit="1" customWidth="1"/>
    <col min="4099" max="4353" width="9.140625" style="3"/>
    <col min="4354" max="4354" width="118.85546875" style="3" bestFit="1" customWidth="1"/>
    <col min="4355" max="4609" width="9.140625" style="3"/>
    <col min="4610" max="4610" width="118.85546875" style="3" bestFit="1" customWidth="1"/>
    <col min="4611" max="4865" width="9.140625" style="3"/>
    <col min="4866" max="4866" width="118.85546875" style="3" bestFit="1" customWidth="1"/>
    <col min="4867" max="5121" width="9.140625" style="3"/>
    <col min="5122" max="5122" width="118.85546875" style="3" bestFit="1" customWidth="1"/>
    <col min="5123" max="5377" width="9.140625" style="3"/>
    <col min="5378" max="5378" width="118.85546875" style="3" bestFit="1" customWidth="1"/>
    <col min="5379" max="5633" width="9.140625" style="3"/>
    <col min="5634" max="5634" width="118.85546875" style="3" bestFit="1" customWidth="1"/>
    <col min="5635" max="5889" width="9.140625" style="3"/>
    <col min="5890" max="5890" width="118.85546875" style="3" bestFit="1" customWidth="1"/>
    <col min="5891" max="6145" width="9.140625" style="3"/>
    <col min="6146" max="6146" width="118.85546875" style="3" bestFit="1" customWidth="1"/>
    <col min="6147" max="6401" width="9.140625" style="3"/>
    <col min="6402" max="6402" width="118.85546875" style="3" bestFit="1" customWidth="1"/>
    <col min="6403" max="6657" width="9.140625" style="3"/>
    <col min="6658" max="6658" width="118.85546875" style="3" bestFit="1" customWidth="1"/>
    <col min="6659" max="6913" width="9.140625" style="3"/>
    <col min="6914" max="6914" width="118.85546875" style="3" bestFit="1" customWidth="1"/>
    <col min="6915" max="7169" width="9.140625" style="3"/>
    <col min="7170" max="7170" width="118.85546875" style="3" bestFit="1" customWidth="1"/>
    <col min="7171" max="7425" width="9.140625" style="3"/>
    <col min="7426" max="7426" width="118.85546875" style="3" bestFit="1" customWidth="1"/>
    <col min="7427" max="7681" width="9.140625" style="3"/>
    <col min="7682" max="7682" width="118.85546875" style="3" bestFit="1" customWidth="1"/>
    <col min="7683" max="7937" width="9.140625" style="3"/>
    <col min="7938" max="7938" width="118.85546875" style="3" bestFit="1" customWidth="1"/>
    <col min="7939" max="8193" width="9.140625" style="3"/>
    <col min="8194" max="8194" width="118.85546875" style="3" bestFit="1" customWidth="1"/>
    <col min="8195" max="8449" width="9.140625" style="3"/>
    <col min="8450" max="8450" width="118.85546875" style="3" bestFit="1" customWidth="1"/>
    <col min="8451" max="8705" width="9.140625" style="3"/>
    <col min="8706" max="8706" width="118.85546875" style="3" bestFit="1" customWidth="1"/>
    <col min="8707" max="8961" width="9.140625" style="3"/>
    <col min="8962" max="8962" width="118.85546875" style="3" bestFit="1" customWidth="1"/>
    <col min="8963" max="9217" width="9.140625" style="3"/>
    <col min="9218" max="9218" width="118.85546875" style="3" bestFit="1" customWidth="1"/>
    <col min="9219" max="9473" width="9.140625" style="3"/>
    <col min="9474" max="9474" width="118.85546875" style="3" bestFit="1" customWidth="1"/>
    <col min="9475" max="9729" width="9.140625" style="3"/>
    <col min="9730" max="9730" width="118.85546875" style="3" bestFit="1" customWidth="1"/>
    <col min="9731" max="9985" width="9.140625" style="3"/>
    <col min="9986" max="9986" width="118.85546875" style="3" bestFit="1" customWidth="1"/>
    <col min="9987" max="10241" width="9.140625" style="3"/>
    <col min="10242" max="10242" width="118.85546875" style="3" bestFit="1" customWidth="1"/>
    <col min="10243" max="10497" width="9.140625" style="3"/>
    <col min="10498" max="10498" width="118.85546875" style="3" bestFit="1" customWidth="1"/>
    <col min="10499" max="10753" width="9.140625" style="3"/>
    <col min="10754" max="10754" width="118.85546875" style="3" bestFit="1" customWidth="1"/>
    <col min="10755" max="11009" width="9.140625" style="3"/>
    <col min="11010" max="11010" width="118.85546875" style="3" bestFit="1" customWidth="1"/>
    <col min="11011" max="11265" width="9.140625" style="3"/>
    <col min="11266" max="11266" width="118.85546875" style="3" bestFit="1" customWidth="1"/>
    <col min="11267" max="11521" width="9.140625" style="3"/>
    <col min="11522" max="11522" width="118.85546875" style="3" bestFit="1" customWidth="1"/>
    <col min="11523" max="11777" width="9.140625" style="3"/>
    <col min="11778" max="11778" width="118.85546875" style="3" bestFit="1" customWidth="1"/>
    <col min="11779" max="12033" width="9.140625" style="3"/>
    <col min="12034" max="12034" width="118.85546875" style="3" bestFit="1" customWidth="1"/>
    <col min="12035" max="12289" width="9.140625" style="3"/>
    <col min="12290" max="12290" width="118.85546875" style="3" bestFit="1" customWidth="1"/>
    <col min="12291" max="12545" width="9.140625" style="3"/>
    <col min="12546" max="12546" width="118.85546875" style="3" bestFit="1" customWidth="1"/>
    <col min="12547" max="12801" width="9.140625" style="3"/>
    <col min="12802" max="12802" width="118.85546875" style="3" bestFit="1" customWidth="1"/>
    <col min="12803" max="13057" width="9.140625" style="3"/>
    <col min="13058" max="13058" width="118.85546875" style="3" bestFit="1" customWidth="1"/>
    <col min="13059" max="13313" width="9.140625" style="3"/>
    <col min="13314" max="13314" width="118.85546875" style="3" bestFit="1" customWidth="1"/>
    <col min="13315" max="13569" width="9.140625" style="3"/>
    <col min="13570" max="13570" width="118.85546875" style="3" bestFit="1" customWidth="1"/>
    <col min="13571" max="13825" width="9.140625" style="3"/>
    <col min="13826" max="13826" width="118.85546875" style="3" bestFit="1" customWidth="1"/>
    <col min="13827" max="14081" width="9.140625" style="3"/>
    <col min="14082" max="14082" width="118.85546875" style="3" bestFit="1" customWidth="1"/>
    <col min="14083" max="14337" width="9.140625" style="3"/>
    <col min="14338" max="14338" width="118.85546875" style="3" bestFit="1" customWidth="1"/>
    <col min="14339" max="14593" width="9.140625" style="3"/>
    <col min="14594" max="14594" width="118.85546875" style="3" bestFit="1" customWidth="1"/>
    <col min="14595" max="14849" width="9.140625" style="3"/>
    <col min="14850" max="14850" width="118.85546875" style="3" bestFit="1" customWidth="1"/>
    <col min="14851" max="15105" width="9.140625" style="3"/>
    <col min="15106" max="15106" width="118.85546875" style="3" bestFit="1" customWidth="1"/>
    <col min="15107" max="15361" width="9.140625" style="3"/>
    <col min="15362" max="15362" width="118.85546875" style="3" bestFit="1" customWidth="1"/>
    <col min="15363" max="15617" width="9.140625" style="3"/>
    <col min="15618" max="15618" width="118.85546875" style="3" bestFit="1" customWidth="1"/>
    <col min="15619" max="15873" width="9.140625" style="3"/>
    <col min="15874" max="15874" width="118.85546875" style="3" bestFit="1" customWidth="1"/>
    <col min="15875" max="16129" width="9.140625" style="3"/>
    <col min="16130" max="16130" width="118.85546875" style="3" bestFit="1" customWidth="1"/>
    <col min="16131" max="16384" width="9.140625" style="3"/>
  </cols>
  <sheetData>
    <row r="1" spans="2:14" ht="28.5" thickBot="1" x14ac:dyDescent="0.25">
      <c r="B1" s="1" t="s">
        <v>153</v>
      </c>
      <c r="C1" s="2"/>
      <c r="D1" s="2"/>
      <c r="E1" s="2"/>
      <c r="F1" s="2"/>
      <c r="G1" s="2"/>
      <c r="H1" s="2"/>
      <c r="I1" s="2"/>
      <c r="J1" s="2"/>
      <c r="K1" s="2"/>
      <c r="L1" s="2"/>
      <c r="M1" s="2"/>
      <c r="N1" s="2"/>
    </row>
    <row r="2" spans="2:14" ht="48" thickBot="1" x14ac:dyDescent="0.3">
      <c r="B2" s="4" t="s">
        <v>167</v>
      </c>
      <c r="C2" s="5"/>
      <c r="D2" s="5"/>
      <c r="E2" s="5"/>
      <c r="F2" s="5"/>
      <c r="G2" s="5"/>
      <c r="H2" s="5"/>
      <c r="I2" s="5"/>
      <c r="J2" s="5"/>
      <c r="K2" s="5"/>
      <c r="L2" s="5"/>
      <c r="M2" s="5"/>
      <c r="N2" s="5"/>
    </row>
    <row r="3" spans="2:14" ht="15" x14ac:dyDescent="0.25">
      <c r="B3" s="6"/>
      <c r="C3" s="5"/>
      <c r="D3" s="5"/>
      <c r="E3" s="5"/>
      <c r="F3" s="5"/>
      <c r="G3" s="5"/>
      <c r="H3" s="5"/>
      <c r="I3" s="5"/>
      <c r="J3" s="5"/>
      <c r="K3" s="5"/>
      <c r="L3" s="5"/>
      <c r="M3" s="5"/>
      <c r="N3" s="5"/>
    </row>
    <row r="4" spans="2:14" ht="45.75" x14ac:dyDescent="0.25">
      <c r="B4" s="7" t="s">
        <v>166</v>
      </c>
      <c r="C4" s="5"/>
      <c r="D4" s="5"/>
      <c r="E4" s="5"/>
      <c r="F4" s="5"/>
      <c r="G4" s="5"/>
      <c r="H4" s="5"/>
      <c r="I4" s="5"/>
      <c r="J4" s="5"/>
      <c r="K4" s="5"/>
      <c r="L4" s="5"/>
      <c r="M4" s="5"/>
      <c r="N4" s="5"/>
    </row>
    <row r="6" spans="2:14" ht="16.5" thickBot="1" x14ac:dyDescent="0.3">
      <c r="B6" s="8" t="s">
        <v>154</v>
      </c>
    </row>
    <row r="7" spans="2:14" ht="60" x14ac:dyDescent="0.25">
      <c r="B7" s="9" t="s">
        <v>168</v>
      </c>
      <c r="C7" s="10"/>
      <c r="D7" s="10"/>
      <c r="E7" s="10"/>
      <c r="F7" s="10"/>
      <c r="G7" s="10"/>
      <c r="H7" s="10"/>
      <c r="I7" s="10"/>
      <c r="J7" s="10"/>
      <c r="K7" s="10"/>
      <c r="L7" s="10"/>
      <c r="M7" s="10"/>
      <c r="N7" s="10"/>
    </row>
    <row r="8" spans="2:14" ht="15" x14ac:dyDescent="0.25">
      <c r="B8" s="11"/>
    </row>
    <row r="9" spans="2:14" ht="14.25" x14ac:dyDescent="0.2">
      <c r="B9" s="12" t="s">
        <v>162</v>
      </c>
    </row>
    <row r="10" spans="2:14" ht="14.25" x14ac:dyDescent="0.2">
      <c r="B10" s="12" t="s">
        <v>163</v>
      </c>
    </row>
    <row r="11" spans="2:14" ht="15" thickBot="1" x14ac:dyDescent="0.25">
      <c r="B11" s="13" t="s">
        <v>164</v>
      </c>
    </row>
    <row r="14" spans="2:14" ht="16.5" thickBot="1" x14ac:dyDescent="0.3">
      <c r="B14" s="8" t="s">
        <v>155</v>
      </c>
    </row>
    <row r="15" spans="2:14" x14ac:dyDescent="0.2">
      <c r="B15" s="16" t="s">
        <v>159</v>
      </c>
    </row>
    <row r="16" spans="2:14" x14ac:dyDescent="0.2">
      <c r="B16" s="53" t="s">
        <v>161</v>
      </c>
    </row>
    <row r="17" spans="2:2" x14ac:dyDescent="0.2">
      <c r="B17" s="54" t="s">
        <v>160</v>
      </c>
    </row>
    <row r="19" spans="2:2" ht="16.5" thickBot="1" x14ac:dyDescent="0.3">
      <c r="B19" s="8" t="s">
        <v>156</v>
      </c>
    </row>
    <row r="20" spans="2:2" x14ac:dyDescent="0.2">
      <c r="B20" s="55" t="s">
        <v>157</v>
      </c>
    </row>
    <row r="21" spans="2:2" ht="39" thickBot="1" x14ac:dyDescent="0.25">
      <c r="B21" s="14" t="s">
        <v>165</v>
      </c>
    </row>
  </sheetData>
  <sheetProtection algorithmName="SHA-512" hashValue="2NIzAi7egW4W8HcqthPrUSnGmAY/9C6SmB0UzHRtPxuncfty8EAFo/wz+mXjkFaBbI2V5NfeW15ldj/wl/QxIA==" saltValue="BRVW/8QWVQjepC8zNhJOBg==" spinCount="100000" sheet="1" objects="1" scenarios="1" formatColumns="0" formatRows="0" autoFilter="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63"/>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 defaultRowHeight="15" x14ac:dyDescent="0.25"/>
  <cols>
    <col min="1" max="1" width="17.7109375" style="40" bestFit="1" customWidth="1"/>
    <col min="2" max="2" width="10.85546875" style="40" bestFit="1" customWidth="1"/>
    <col min="3" max="4" width="9.140625" style="40" bestFit="1" customWidth="1"/>
    <col min="5" max="5" width="11.140625" style="40" bestFit="1" customWidth="1"/>
    <col min="6" max="6" width="9.28515625" style="40" bestFit="1" customWidth="1"/>
    <col min="7" max="7" width="9.140625" style="40" bestFit="1" customWidth="1"/>
    <col min="8" max="8" width="10.140625" style="40" bestFit="1" customWidth="1"/>
    <col min="9" max="9" width="10.42578125" style="40" bestFit="1" customWidth="1"/>
    <col min="10" max="10" width="9.85546875" style="40" bestFit="1" customWidth="1"/>
    <col min="11" max="13" width="8.85546875" style="40" bestFit="1" customWidth="1"/>
    <col min="14" max="16" width="8.5703125" style="40" bestFit="1" customWidth="1"/>
    <col min="17" max="19" width="8.85546875" style="40" bestFit="1" customWidth="1"/>
    <col min="20" max="20" width="12.85546875" style="40" bestFit="1" customWidth="1"/>
    <col min="21" max="21" width="10" style="40" bestFit="1" customWidth="1"/>
    <col min="22" max="22" width="9.140625" style="40" bestFit="1" customWidth="1"/>
    <col min="23" max="23" width="12.140625" style="40" bestFit="1" customWidth="1"/>
    <col min="24" max="24" width="10.285156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31" width="8.85546875" style="40" bestFit="1" customWidth="1"/>
    <col min="32" max="34" width="8.5703125" style="40" bestFit="1" customWidth="1"/>
    <col min="35" max="37" width="8.85546875" style="40" bestFit="1" customWidth="1"/>
    <col min="38" max="16384" width="9" style="40"/>
  </cols>
  <sheetData>
    <row r="1" spans="1:28" x14ac:dyDescent="0.25">
      <c r="A1" s="57" t="s">
        <v>158</v>
      </c>
      <c r="B1" s="58" t="s">
        <v>136</v>
      </c>
      <c r="C1" s="58" t="s">
        <v>137</v>
      </c>
      <c r="D1" s="58" t="s">
        <v>135</v>
      </c>
      <c r="E1" s="58" t="s">
        <v>149</v>
      </c>
      <c r="F1" s="58" t="s">
        <v>150</v>
      </c>
      <c r="G1" s="58" t="s">
        <v>25</v>
      </c>
      <c r="H1" s="58" t="s">
        <v>22</v>
      </c>
      <c r="I1" s="58" t="s">
        <v>23</v>
      </c>
      <c r="J1" s="58" t="s">
        <v>24</v>
      </c>
      <c r="T1" s="61" t="s">
        <v>188</v>
      </c>
      <c r="U1" s="61" t="s">
        <v>189</v>
      </c>
      <c r="V1" s="61" t="s">
        <v>138</v>
      </c>
      <c r="W1" s="61" t="s">
        <v>147</v>
      </c>
      <c r="X1" s="61" t="s">
        <v>148</v>
      </c>
      <c r="Y1" s="61" t="s">
        <v>139</v>
      </c>
      <c r="Z1" s="61" t="s">
        <v>140</v>
      </c>
      <c r="AA1" s="61" t="s">
        <v>141</v>
      </c>
      <c r="AB1" s="61" t="s">
        <v>142</v>
      </c>
    </row>
    <row r="2" spans="1:28" x14ac:dyDescent="0.25">
      <c r="A2" s="57" t="str">
        <f>up_isospec!A2</f>
        <v>Rn-219</v>
      </c>
      <c r="B2" s="59">
        <f>1/(SUM((1/B3),(1/B4),(1/B5),(1/B6),(1/B7),(1/B8)))</f>
        <v>4.1065315031355683E-9</v>
      </c>
      <c r="C2" s="59">
        <f>1/(SUM((1/C3),(1/C4),(1/C5),(1/C6),(1/C7),(1/C8)))</f>
        <v>4.106531503135569E-12</v>
      </c>
      <c r="D2" s="59">
        <f>1/(1/D3)</f>
        <v>9.1605677333980235E-18</v>
      </c>
      <c r="E2" s="59">
        <f>B2/s_AFss</f>
        <v>8.2130630062711359E-8</v>
      </c>
      <c r="F2" s="59">
        <f>(B2/s_AFss)/1000</f>
        <v>8.2130630062711361E-11</v>
      </c>
      <c r="G2" s="59">
        <f>IFERROR(B2/(s_AFgw*1000*up_isospec!M2),0)</f>
        <v>9.7108078782624519E-12</v>
      </c>
      <c r="H2" s="59">
        <f>1/(1/H5)</f>
        <v>5.3308530058930915E-8</v>
      </c>
      <c r="I2" s="59">
        <f>1/(SUM((1/I3),(1/I4),(1/I5),(1/I6),(1/I7),(1/I8)))</f>
        <v>6.5617240255727463E-6</v>
      </c>
      <c r="J2" s="59">
        <f>1/(SUM((1/J3),(1/J4),(1/J5),(1/J6),(1/J7),(1/J8)))</f>
        <v>4.1065315031355683E-9</v>
      </c>
      <c r="T2" s="59">
        <f>1/(SUM((1/T3),(1/T4),(1/T5),(1/T6),(1/T7),(1/T8)))</f>
        <v>1.1982695444800487E-9</v>
      </c>
      <c r="U2" s="59">
        <f>1/(SUM((1/U3),(1/U4),(1/U5),(1/U6),(1/U7),(1/U8)))</f>
        <v>1.1982695444800485E-12</v>
      </c>
      <c r="V2" s="59">
        <f>1/(1/V3)</f>
        <v>2.6730171963117908E-18</v>
      </c>
      <c r="W2" s="59">
        <f>T2/s_AFss</f>
        <v>2.3965390889600974E-8</v>
      </c>
      <c r="X2" s="59">
        <f>(T2/s_AFss)/1000</f>
        <v>2.3965390889600974E-11</v>
      </c>
      <c r="Y2" s="59">
        <f>IFERROR(T2/(s_AFgw*1000*up_isospec!M2),0)</f>
        <v>2.8335750800727931E-12</v>
      </c>
      <c r="Z2" s="59">
        <f>1/(1/Z5)</f>
        <v>1.5548321267188183E-8</v>
      </c>
      <c r="AA2" s="59">
        <f>1/(SUM((1/AA3),(1/AA4),(1/AA5),(1/AA6),(1/AA7),(1/AA8)))</f>
        <v>6.5617240255727463E-6</v>
      </c>
      <c r="AB2" s="59">
        <f>1/(SUM((1/AB3),(1/AB4),(1/AB5),(1/AB6),(1/AB7),(1/AB8)))</f>
        <v>1.1982695444800487E-9</v>
      </c>
    </row>
    <row r="3" spans="1:28" x14ac:dyDescent="0.25">
      <c r="A3" s="57" t="str">
        <f>up_isospec!A2</f>
        <v>Rn-219</v>
      </c>
      <c r="B3" s="60">
        <f t="shared" ref="B3:B8" si="0">J3</f>
        <v>9.9677839175609659E-9</v>
      </c>
      <c r="C3" s="60">
        <f t="shared" ref="C3:C8" si="1">MIN(I3:J3)/1000</f>
        <v>9.967783917560966E-12</v>
      </c>
      <c r="D3" s="60">
        <f>(C3/1000)*s_Aeq_Feq!E2</f>
        <v>9.1605677333980235E-18</v>
      </c>
      <c r="E3" s="60"/>
      <c r="F3" s="60"/>
      <c r="G3" s="60"/>
      <c r="H3" s="60">
        <f>IFERROR((s_TR)/(up_isospec!B2*s_IFAres_adj)/s_Aeq_Feq!B2,0)</f>
        <v>9.9740259740259751E-9</v>
      </c>
      <c r="I3" s="60">
        <f>IFERROR((s_TR)/(up_isospec!C2*s_EFres*(1/365)*s_EDres*s_ETres*(1/24)*s_GSFa)/s_Aeq_Feq!B2,0)</f>
        <v>1.5927272727272727E-5</v>
      </c>
      <c r="J3" s="60">
        <f t="shared" ref="J3:J8" si="2">IFERROR(IF(AND(H3&lt;&gt;0,I3&lt;&gt;0),1/((1/H3)+(1/I3)),IF(AND(H3&lt;&gt;0,I3=0),1/(1/H3),IF(AND(H3=0,I3&lt;&gt;0),1/(1/I3),IF(AND(H3=0,I3=0),0)))),0)</f>
        <v>9.9677839175609659E-9</v>
      </c>
      <c r="T3" s="60">
        <f t="shared" ref="T3:T8" si="3">AB3</f>
        <v>2.908559665316422E-9</v>
      </c>
      <c r="U3" s="60">
        <f t="shared" ref="U3:U8" si="4">MIN(AA3:AB3)/1000</f>
        <v>2.908559665316422E-12</v>
      </c>
      <c r="V3" s="60">
        <f>(U3/1000)*s_Aeq_Feq!G2</f>
        <v>2.6730171963117908E-18</v>
      </c>
      <c r="W3" s="60"/>
      <c r="X3" s="60"/>
      <c r="Y3" s="60"/>
      <c r="Z3" s="60">
        <f>IFERROR((s_TR)/(up_isospec!B2*s_EFw*s_EDw*s_ETw*(1/24)*s_IRAw)/s_Aeq_Feq!C2,0)</f>
        <v>2.9090909090909091E-9</v>
      </c>
      <c r="AA3" s="60">
        <f>IFERROR((s_TR)/(up_isospec!C2*s_EFw*(1/365)*s_EDw*s_ETw*(1/24)*s_GSFa)/s_Aeq_Feq!C2,0)</f>
        <v>1.5927272727272727E-5</v>
      </c>
      <c r="AB3" s="60">
        <f t="shared" ref="AB3:AB8" si="5">IFERROR(IF(AND(Z3&lt;&gt;0,AA3&lt;&gt;0),1/((1/Z3)+(1/AA3)),IF(AND(Z3&lt;&gt;0,AA3=0),1/(1/Z3),IF(AND(Z3=0,AA3&lt;&gt;0),1/(1/AA3),IF(AND(Z3=0,AA3=0),0)))),0)</f>
        <v>2.908559665316422E-9</v>
      </c>
    </row>
    <row r="4" spans="1:28" x14ac:dyDescent="0.25">
      <c r="A4" s="57" t="str">
        <f>up_isospec!A3</f>
        <v>Rn-219~Bi-211</v>
      </c>
      <c r="B4" s="60">
        <f t="shared" si="0"/>
        <v>6.6987795144898963E-8</v>
      </c>
      <c r="C4" s="60">
        <f t="shared" si="1"/>
        <v>6.6987795144898966E-11</v>
      </c>
      <c r="D4" s="60">
        <f>(C4/1000)*s_Aeq_Feq!E3</f>
        <v>0</v>
      </c>
      <c r="E4" s="60"/>
      <c r="F4" s="60"/>
      <c r="G4" s="60"/>
      <c r="H4" s="60">
        <f>IFERROR((s_TR)/(up_isospec!B3*s_IFAres_adj)/s_Aeq_Feq!B3,0)</f>
        <v>6.70297444490993E-8</v>
      </c>
      <c r="I4" s="60">
        <f>IFERROR((s_TR)/(up_isospec!C3*s_EFres*(1/365)*s_EDres*s_ETres*(1/24)*s_GSFa)/s_Aeq_Feq!B3,0)</f>
        <v>1.0703812316715543E-4</v>
      </c>
      <c r="J4" s="60">
        <f t="shared" si="2"/>
        <v>6.6987795144898963E-8</v>
      </c>
      <c r="T4" s="60">
        <f t="shared" si="3"/>
        <v>1.9546771944330797E-8</v>
      </c>
      <c r="U4" s="60">
        <f t="shared" si="4"/>
        <v>1.9546771944330797E-11</v>
      </c>
      <c r="V4" s="60">
        <f>(U4/1000)*s_Aeq_Feq!G3</f>
        <v>0</v>
      </c>
      <c r="W4" s="60"/>
      <c r="X4" s="60"/>
      <c r="Y4" s="60"/>
      <c r="Z4" s="60">
        <f>IFERROR((s_TR)/(up_isospec!B3*s_EFw*s_EDw*s_ETw*(1/24)*s_IRAw)/s_Aeq_Feq!C3,0)</f>
        <v>1.9550342130987295E-8</v>
      </c>
      <c r="AA4" s="60">
        <f>IFERROR((s_TR)/(up_isospec!C3*s_EFw*(1/365)*s_EDw*s_ETw*(1/24)*s_GSFa)/s_Aeq_Feq!C3,0)</f>
        <v>1.0703812316715543E-4</v>
      </c>
      <c r="AB4" s="60">
        <f t="shared" si="5"/>
        <v>1.9546771944330797E-8</v>
      </c>
    </row>
    <row r="5" spans="1:28" x14ac:dyDescent="0.25">
      <c r="A5" s="57" t="str">
        <f>up_isospec!A4</f>
        <v>Rn-219~Pb-211</v>
      </c>
      <c r="B5" s="60">
        <f t="shared" si="0"/>
        <v>5.3275167918551389E-8</v>
      </c>
      <c r="C5" s="60">
        <f t="shared" si="1"/>
        <v>5.3275167918551388E-11</v>
      </c>
      <c r="D5" s="60">
        <f>(C5/1000)*s_Aeq_Feq!E4</f>
        <v>0</v>
      </c>
      <c r="E5" s="60"/>
      <c r="F5" s="60"/>
      <c r="G5" s="60"/>
      <c r="H5" s="60">
        <f>IFERROR((s_TR)/(up_isospec!B4*s_IFAres_adj)/s_Aeq_Feq!B4,0)</f>
        <v>5.3308530058930921E-8</v>
      </c>
      <c r="I5" s="60">
        <f>IFERROR((s_TR)/(up_isospec!C4*s_EFres*(1/365)*s_EDres*s_ETres*(1/24)*s_GSFa)/s_Aeq_Feq!B4,0)</f>
        <v>8.5127058937855301E-5</v>
      </c>
      <c r="J5" s="60">
        <f t="shared" si="2"/>
        <v>5.3275167918551389E-8</v>
      </c>
      <c r="T5" s="60">
        <f t="shared" si="3"/>
        <v>1.5545481909761741E-8</v>
      </c>
      <c r="U5" s="60">
        <f t="shared" si="4"/>
        <v>1.5545481909761743E-11</v>
      </c>
      <c r="V5" s="60">
        <f>(U5/1000)*s_Aeq_Feq!G4</f>
        <v>0</v>
      </c>
      <c r="W5" s="60"/>
      <c r="X5" s="60"/>
      <c r="Y5" s="60"/>
      <c r="Z5" s="60">
        <f>IFERROR((s_TR)/(up_isospec!B4*s_EFw*s_EDw*s_ETw*(1/24)*s_IRAw)/s_Aeq_Feq!C4,0)</f>
        <v>1.5548321267188183E-8</v>
      </c>
      <c r="AA5" s="60">
        <f>IFERROR((s_TR)/(up_isospec!C4*s_EFw*(1/365)*s_EDw*s_ETw*(1/24)*s_GSFa)/s_Aeq_Feq!C4,0)</f>
        <v>8.5127058937855301E-5</v>
      </c>
      <c r="AB5" s="60">
        <f t="shared" si="5"/>
        <v>1.5545481909761741E-8</v>
      </c>
    </row>
    <row r="6" spans="1:28" x14ac:dyDescent="0.25">
      <c r="A6" s="57" t="str">
        <f>up_isospec!A5</f>
        <v>Rn-219~Po-211</v>
      </c>
      <c r="B6" s="60">
        <f t="shared" si="0"/>
        <v>2.4919459793902415E-5</v>
      </c>
      <c r="C6" s="60">
        <f t="shared" si="1"/>
        <v>2.4919459793902416E-8</v>
      </c>
      <c r="D6" s="60">
        <f>(C6/1000)*s_Aeq_Feq!E5</f>
        <v>0</v>
      </c>
      <c r="E6" s="60"/>
      <c r="F6" s="60"/>
      <c r="G6" s="60"/>
      <c r="H6" s="60">
        <f>IFERROR((s_TR)/(up_isospec!B5*s_IFAres_adj)/s_Aeq_Feq!B5,0)</f>
        <v>2.4935064935064935E-5</v>
      </c>
      <c r="I6" s="60">
        <f>IFERROR((s_TR)/(up_isospec!C5*s_EFres*(1/365)*s_EDres*s_ETres*(1/24)*s_GSFa)/s_Aeq_Feq!B5,0)</f>
        <v>3.9818181818181815E-2</v>
      </c>
      <c r="J6" s="60">
        <f t="shared" si="2"/>
        <v>2.4919459793902415E-5</v>
      </c>
      <c r="T6" s="60">
        <f t="shared" si="3"/>
        <v>7.2713991632910549E-6</v>
      </c>
      <c r="U6" s="60">
        <f t="shared" si="4"/>
        <v>7.2713991632910546E-9</v>
      </c>
      <c r="V6" s="60">
        <f>(U6/1000)*s_Aeq_Feq!G5</f>
        <v>0</v>
      </c>
      <c r="W6" s="60"/>
      <c r="X6" s="60"/>
      <c r="Y6" s="60"/>
      <c r="Z6" s="60">
        <f>IFERROR((s_TR)/(up_isospec!B5*s_EFw*s_EDw*s_ETw*(1/24)*s_IRAw)/s_Aeq_Feq!C5,0)</f>
        <v>7.2727272727272723E-6</v>
      </c>
      <c r="AA6" s="60">
        <f>IFERROR((s_TR)/(up_isospec!C5*s_EFw*(1/365)*s_EDw*s_ETw*(1/24)*s_GSFa)/s_Aeq_Feq!C5,0)</f>
        <v>3.9818181818181815E-2</v>
      </c>
      <c r="AB6" s="60">
        <f t="shared" si="5"/>
        <v>7.2713991632910549E-6</v>
      </c>
    </row>
    <row r="7" spans="1:28" x14ac:dyDescent="0.25">
      <c r="A7" s="57" t="str">
        <f>up_isospec!A6</f>
        <v>Rn-219~Po-215</v>
      </c>
      <c r="B7" s="60">
        <f t="shared" si="0"/>
        <v>1.0000786513054044E-8</v>
      </c>
      <c r="C7" s="60">
        <f t="shared" si="1"/>
        <v>1.0000786513054044E-11</v>
      </c>
      <c r="D7" s="60">
        <f>(C7/1000)*s_Aeq_Feq!E6</f>
        <v>0</v>
      </c>
      <c r="E7" s="60"/>
      <c r="F7" s="60"/>
      <c r="G7" s="60"/>
      <c r="H7" s="60">
        <f>IFERROR((s_TR)/(up_isospec!B6*s_IFAres_adj)/s_Aeq_Feq!B6,0)</f>
        <v>1.0007049236506446E-8</v>
      </c>
      <c r="I7" s="60">
        <f>IFERROR((s_TR)/(up_isospec!C6*s_EFres*(1/365)*s_EDres*s_ETres*(1/24)*s_GSFa)/s_Aeq_Feq!B6,0)</f>
        <v>1.5980006749546227E-5</v>
      </c>
      <c r="J7" s="60">
        <f t="shared" si="2"/>
        <v>1.0000786513054044E-8</v>
      </c>
      <c r="T7" s="60">
        <f t="shared" si="3"/>
        <v>2.9181896912977044E-9</v>
      </c>
      <c r="U7" s="60">
        <f t="shared" si="4"/>
        <v>2.9181896912977045E-12</v>
      </c>
      <c r="V7" s="60">
        <f>(U7/1000)*s_Aeq_Feq!G6</f>
        <v>0</v>
      </c>
      <c r="W7" s="60"/>
      <c r="X7" s="60"/>
      <c r="Y7" s="60"/>
      <c r="Z7" s="60">
        <f>IFERROR((s_TR)/(up_isospec!B6*s_EFw*s_EDw*s_ETw*(1/24)*s_IRAw)/s_Aeq_Feq!C6,0)</f>
        <v>2.9187226939810464E-9</v>
      </c>
      <c r="AA7" s="60">
        <f>IFERROR((s_TR)/(up_isospec!C6*s_EFw*(1/365)*s_EDw*s_ETw*(1/24)*s_GSFa)/s_Aeq_Feq!C6,0)</f>
        <v>1.5980006749546227E-5</v>
      </c>
      <c r="AB7" s="60">
        <f t="shared" si="5"/>
        <v>2.9181896912977044E-9</v>
      </c>
    </row>
    <row r="8" spans="1:28" x14ac:dyDescent="0.25">
      <c r="A8" s="57" t="str">
        <f>up_isospec!A7</f>
        <v>Rn-219~Tl-207</v>
      </c>
      <c r="B8" s="60">
        <f t="shared" si="0"/>
        <v>1.0570290474613961E-7</v>
      </c>
      <c r="C8" s="60">
        <f t="shared" si="1"/>
        <v>1.0570290474613961E-10</v>
      </c>
      <c r="D8" s="60">
        <f>(C8/1000)*s_Aeq_Feq!E7</f>
        <v>0</v>
      </c>
      <c r="E8" s="60"/>
      <c r="F8" s="60"/>
      <c r="G8" s="60"/>
      <c r="H8" s="60">
        <f>IFERROR((s_TR)/(up_isospec!B7*s_IFAres_adj)/s_Aeq_Feq!B7,0)</f>
        <v>1.0576909834598065E-7</v>
      </c>
      <c r="I8" s="60">
        <f>IFERROR((s_TR)/(up_isospec!C7*s_EFres*(1/365)*s_EDres*s_ETres*(1/24)*s_GSFa)/s_Aeq_Feq!B7,0)</f>
        <v>1.6890002892123784E-4</v>
      </c>
      <c r="J8" s="60">
        <f t="shared" si="2"/>
        <v>1.0570290474613961E-7</v>
      </c>
      <c r="T8" s="60">
        <f t="shared" si="3"/>
        <v>3.0843686800810419E-8</v>
      </c>
      <c r="U8" s="60">
        <f t="shared" si="4"/>
        <v>3.084368680081042E-11</v>
      </c>
      <c r="V8" s="60">
        <f>(U8/1000)*s_Aeq_Feq!G7</f>
        <v>0</v>
      </c>
      <c r="W8" s="60"/>
      <c r="X8" s="60"/>
      <c r="Y8" s="60"/>
      <c r="Z8" s="60">
        <f>IFERROR((s_TR)/(up_isospec!B7*s_EFw*s_EDw*s_ETw*(1/24)*s_IRAw)/s_Aeq_Feq!C7,0)</f>
        <v>3.0849320350911023E-8</v>
      </c>
      <c r="AA8" s="60">
        <f>IFERROR((s_TR)/(up_isospec!C7*s_EFw*(1/365)*s_EDw*s_ETw*(1/24)*s_GSFa)/s_Aeq_Feq!C7,0)</f>
        <v>1.6890002892123784E-4</v>
      </c>
      <c r="AB8" s="60">
        <f t="shared" si="5"/>
        <v>3.0843686800810419E-8</v>
      </c>
    </row>
    <row r="9" spans="1:28" x14ac:dyDescent="0.25">
      <c r="A9" s="57" t="str">
        <f>up_isospec!A8</f>
        <v>Rn-220</v>
      </c>
      <c r="B9" s="59">
        <f>1/(SUM((1/B10),(1/B11),(1/B12),(1/B14),(1/B15)))</f>
        <v>4.9477732143159763E-9</v>
      </c>
      <c r="C9" s="59">
        <f>1/(SUM((1/C10),(1/C11),(1/C12),(1/C14),(1/C15)))</f>
        <v>4.9477732143159763E-12</v>
      </c>
      <c r="D9" s="59">
        <f>1/(1/D10)</f>
        <v>2.0881683303819706E-18</v>
      </c>
      <c r="E9" s="59">
        <f>B9/s_AFss</f>
        <v>9.895546428631952E-8</v>
      </c>
      <c r="F9" s="59">
        <f>(B9/s_AFss)/1000</f>
        <v>9.8955464286319514E-11</v>
      </c>
      <c r="G9" s="59">
        <f>IFERROR(B9/(s_AFgw*1000*up_isospec!M8),0)</f>
        <v>1.1700111169912861E-11</v>
      </c>
      <c r="H9" s="59">
        <f>1/(SUM((1/H10),(1/H11),(1/H12)))</f>
        <v>9.8314696638994323E-9</v>
      </c>
      <c r="I9" s="59">
        <f>1/(SUM((1/I10),(1/I11),(1/I12),(1/I14),(1/I15)))</f>
        <v>7.9059231248251393E-6</v>
      </c>
      <c r="J9" s="59">
        <f>1/(SUM((1/J10),(1/J11),(1/J12),(1/J14),(1/J15)))</f>
        <v>4.9477732143159763E-9</v>
      </c>
      <c r="T9" s="59">
        <f>1/(SUM((1/T10),(1/T11),(1/T12),(1/T14),(1/T15)))</f>
        <v>1.4437405268124799E-9</v>
      </c>
      <c r="U9" s="59">
        <f>1/(SUM((1/U10),(1/U11),(1/U12),(1/U14),(1/U15)))</f>
        <v>1.4437405268124799E-12</v>
      </c>
      <c r="V9" s="59">
        <f>1/(1/V10)</f>
        <v>6.0931920579055714E-19</v>
      </c>
      <c r="W9" s="59">
        <f>T9/s_AFss</f>
        <v>2.8874810536249595E-8</v>
      </c>
      <c r="X9" s="59">
        <f>(T9/s_AFss)/1000</f>
        <v>2.8874810536249595E-11</v>
      </c>
      <c r="Y9" s="59">
        <f>IFERROR(T9/(s_AFgw*1000*up_isospec!M8),0)</f>
        <v>3.4140458611439941E-12</v>
      </c>
      <c r="Z9" s="59">
        <f>1/(SUM((1/Z10),(1/Z11),(1/Z12)))</f>
        <v>2.8675119853040011E-9</v>
      </c>
      <c r="AA9" s="59">
        <f>1/(SUM((1/AA10),(1/AA11),(1/AA12),(1/AA14),(1/AA15)))</f>
        <v>7.9059231248251393E-6</v>
      </c>
      <c r="AB9" s="59">
        <f>1/(SUM((1/AB10),(1/AB11),(1/AB12),(1/AB14),(1/AB15)))</f>
        <v>1.4437405268124799E-9</v>
      </c>
    </row>
    <row r="10" spans="1:28" x14ac:dyDescent="0.25">
      <c r="A10" s="57" t="str">
        <f>up_isospec!A8</f>
        <v>Rn-220</v>
      </c>
      <c r="B10" s="60">
        <f t="shared" ref="B10:B15" si="6">J10</f>
        <v>9.9677839175609659E-9</v>
      </c>
      <c r="C10" s="60">
        <f t="shared" ref="C10:C15" si="7">MIN(I10:J10)/1000</f>
        <v>9.967783917560966E-12</v>
      </c>
      <c r="D10" s="60">
        <f>(C10/1000)*s_Aeq_Feq!E8</f>
        <v>2.0881683303819706E-18</v>
      </c>
      <c r="E10" s="60"/>
      <c r="F10" s="60"/>
      <c r="G10" s="60"/>
      <c r="H10" s="60">
        <f>IFERROR((s_TR)/(up_isospec!B8*s_IFAres_adj)/s_Aeq_Feq!B8,0)</f>
        <v>9.9740259740259751E-9</v>
      </c>
      <c r="I10" s="60">
        <f>IFERROR((s_TR)/(up_isospec!C8*s_EFres*(1/365)*s_EDres*s_ETres*(1/24)*s_GSFa)/s_Aeq_Feq!B8,0)</f>
        <v>1.5927272727272727E-5</v>
      </c>
      <c r="J10" s="60">
        <f t="shared" ref="J10:J15" si="8">IFERROR(IF(AND(H10&lt;&gt;0,I10&lt;&gt;0),1/((1/H10)+(1/I10)),IF(AND(H10&lt;&gt;0,I10=0),1/(1/H10),IF(AND(H10=0,I10&lt;&gt;0),1/(1/I10),IF(AND(H10=0,I10=0),0)))),0)</f>
        <v>9.9677839175609659E-9</v>
      </c>
      <c r="T10" s="60">
        <f t="shared" ref="T10:T15" si="9">AB10</f>
        <v>2.908559665316422E-9</v>
      </c>
      <c r="U10" s="60">
        <f t="shared" ref="U10:U15" si="10">MIN(AA10:AB10)/1000</f>
        <v>2.908559665316422E-12</v>
      </c>
      <c r="V10" s="60">
        <f>(U10/1000)*s_Aeq_Feq!G8</f>
        <v>6.0931920579055714E-19</v>
      </c>
      <c r="W10" s="60"/>
      <c r="X10" s="60"/>
      <c r="Y10" s="60"/>
      <c r="Z10" s="60">
        <f>IFERROR((s_TR)/(up_isospec!B8*s_EFw*s_EDw*s_ETw*(1/24)*s_IRAw)/s_Aeq_Feq!C8,0)</f>
        <v>2.9090909090909091E-9</v>
      </c>
      <c r="AA10" s="60">
        <f>IFERROR((s_TR)/(up_isospec!C8*s_EFw*(1/365)*s_EDw*s_ETw*(1/24)*s_GSFa)/s_Aeq_Feq!C8,0)</f>
        <v>1.5927272727272727E-5</v>
      </c>
      <c r="AB10" s="60">
        <f t="shared" ref="AB10:AB15" si="11">IFERROR(IF(AND(Z10&lt;&gt;0,AA10&lt;&gt;0),1/((1/Z10)+(1/AA10)),IF(AND(Z10&lt;&gt;0,AA10=0),1/(1/Z10),IF(AND(Z10=0,AA10&lt;&gt;0),1/(1/AA10),IF(AND(Z10=0,AA10=0),0)))),0)</f>
        <v>2.908559665316422E-9</v>
      </c>
    </row>
    <row r="11" spans="1:28" x14ac:dyDescent="0.25">
      <c r="A11" s="57" t="str">
        <f>up_isospec!A9</f>
        <v>Rn-220~Bi-212</v>
      </c>
      <c r="B11" s="60">
        <f t="shared" si="6"/>
        <v>6.2298649484756037E-6</v>
      </c>
      <c r="C11" s="60">
        <f t="shared" si="7"/>
        <v>6.2298649484756039E-9</v>
      </c>
      <c r="D11" s="60">
        <f>(C11/1000)*s_Aeq_Feq!E9</f>
        <v>0</v>
      </c>
      <c r="E11" s="60"/>
      <c r="F11" s="60"/>
      <c r="G11" s="60"/>
      <c r="H11" s="60">
        <f>IFERROR((s_TR)/(up_isospec!B9*s_IFAres_adj)/s_Aeq_Feq!B9,0)</f>
        <v>6.2337662337662338E-6</v>
      </c>
      <c r="I11" s="60">
        <f>IFERROR((s_TR)/(up_isospec!C9*s_EFres*(1/365)*s_EDres*s_ETres*(1/24)*s_GSFa)/s_Aeq_Feq!B9,0)</f>
        <v>9.9545454545454538E-3</v>
      </c>
      <c r="J11" s="60">
        <f t="shared" si="8"/>
        <v>6.2298649484756037E-6</v>
      </c>
      <c r="T11" s="60">
        <f t="shared" si="9"/>
        <v>1.8178497908227637E-6</v>
      </c>
      <c r="U11" s="60">
        <f t="shared" si="10"/>
        <v>1.8178497908227637E-9</v>
      </c>
      <c r="V11" s="60">
        <f>(U11/1000)*s_Aeq_Feq!G9</f>
        <v>0</v>
      </c>
      <c r="W11" s="60"/>
      <c r="X11" s="60"/>
      <c r="Y11" s="60"/>
      <c r="Z11" s="60">
        <f>IFERROR((s_TR)/(up_isospec!B9*s_EFw*s_EDw*s_ETw*(1/24)*s_IRAw)/s_Aeq_Feq!C9,0)</f>
        <v>1.8181818181818181E-6</v>
      </c>
      <c r="AA11" s="60">
        <f>IFERROR((s_TR)/(up_isospec!C9*s_EFw*(1/365)*s_EDw*s_ETw*(1/24)*s_GSFa)/s_Aeq_Feq!C9,0)</f>
        <v>9.9545454545454538E-3</v>
      </c>
      <c r="AB11" s="60">
        <f t="shared" si="11"/>
        <v>1.8178497908227637E-6</v>
      </c>
    </row>
    <row r="12" spans="1:28" x14ac:dyDescent="0.25">
      <c r="A12" s="57" t="str">
        <f>up_isospec!A10</f>
        <v>Rn-220~Pb-212</v>
      </c>
      <c r="B12" s="60">
        <f t="shared" si="6"/>
        <v>7.7269642771790435E-7</v>
      </c>
      <c r="C12" s="60">
        <f t="shared" si="7"/>
        <v>7.7269642771790438E-10</v>
      </c>
      <c r="D12" s="60">
        <f>(C12/1000)*s_Aeq_Feq!E10</f>
        <v>0</v>
      </c>
      <c r="E12" s="60"/>
      <c r="F12" s="60"/>
      <c r="G12" s="60"/>
      <c r="H12" s="60">
        <f>IFERROR((s_TR)/(up_isospec!B10*s_IFAres_adj)/s_Aeq_Feq!B10,0)</f>
        <v>7.7318030806402912E-7</v>
      </c>
      <c r="I12" s="60">
        <f>IFERROR((s_TR)/(up_isospec!C10*s_EFres*(1/365)*s_EDres*s_ETres*(1/24)*s_GSFa)/s_Aeq_Feq!B10,0)</f>
        <v>1.2346723044397462E-3</v>
      </c>
      <c r="J12" s="60">
        <f t="shared" si="8"/>
        <v>7.7269642771790435E-7</v>
      </c>
      <c r="T12" s="60">
        <f t="shared" si="9"/>
        <v>2.2546974149739708E-7</v>
      </c>
      <c r="U12" s="60">
        <f t="shared" si="10"/>
        <v>2.2546974149739706E-10</v>
      </c>
      <c r="V12" s="60">
        <f>(U12/1000)*s_Aeq_Feq!G10</f>
        <v>0</v>
      </c>
      <c r="W12" s="60"/>
      <c r="X12" s="60"/>
      <c r="Y12" s="60"/>
      <c r="Z12" s="60">
        <f>IFERROR((s_TR)/(up_isospec!B10*s_EFw*s_EDw*s_ETw*(1/24)*s_IRAw)/s_Aeq_Feq!C10,0)</f>
        <v>2.2551092318534179E-7</v>
      </c>
      <c r="AA12" s="60">
        <f>IFERROR((s_TR)/(up_isospec!C10*s_EFw*(1/365)*s_EDw*s_ETw*(1/24)*s_GSFa)/s_Aeq_Feq!C10,0)</f>
        <v>1.2346723044397462E-3</v>
      </c>
      <c r="AB12" s="60">
        <f t="shared" si="11"/>
        <v>2.2546974149739708E-7</v>
      </c>
    </row>
    <row r="13" spans="1:28" x14ac:dyDescent="0.25">
      <c r="A13" s="57" t="str">
        <f>up_isospec!A11</f>
        <v>Rn-220~Po-212</v>
      </c>
      <c r="B13" s="60">
        <f t="shared" si="6"/>
        <v>9.9677839175609659E-6</v>
      </c>
      <c r="C13" s="60">
        <f t="shared" si="7"/>
        <v>9.9677839175609659E-9</v>
      </c>
      <c r="D13" s="60">
        <f>(C13/1000)*s_Aeq_Feq!E11</f>
        <v>0</v>
      </c>
      <c r="E13" s="60"/>
      <c r="F13" s="60"/>
      <c r="G13" s="60"/>
      <c r="H13" s="60">
        <f>IFERROR((s_TR)/(up_isospec!B11*s_IFAres_adj)/s_Aeq_Feq!B11,0)</f>
        <v>9.9740259740259744E-6</v>
      </c>
      <c r="I13" s="60">
        <f>IFERROR((s_TR)/(up_isospec!C11*s_EFres*(1/365)*s_EDres*s_ETres*(1/24)*s_GSFa)/s_Aeq_Feq!B11,0)</f>
        <v>1.5927272727272727E-2</v>
      </c>
      <c r="J13" s="60">
        <f t="shared" si="8"/>
        <v>9.9677839175609659E-6</v>
      </c>
      <c r="T13" s="60">
        <f t="shared" si="9"/>
        <v>2.908559665316422E-6</v>
      </c>
      <c r="U13" s="60">
        <f t="shared" si="10"/>
        <v>2.908559665316422E-9</v>
      </c>
      <c r="V13" s="60">
        <f>(U13/1000)*s_Aeq_Feq!G11</f>
        <v>0</v>
      </c>
      <c r="W13" s="60"/>
      <c r="X13" s="60"/>
      <c r="Y13" s="60"/>
      <c r="Z13" s="60">
        <f>IFERROR((s_TR)/(up_isospec!B11*s_EFw*s_EDw*s_ETw*(1/24)*s_IRAw)/s_Aeq_Feq!C11,0)</f>
        <v>2.9090909090909093E-6</v>
      </c>
      <c r="AA13" s="60">
        <f>IFERROR((s_TR)/(up_isospec!C11*s_EFw*(1/365)*s_EDw*s_ETw*(1/24)*s_GSFa)/s_Aeq_Feq!C11,0)</f>
        <v>1.5927272727272727E-2</v>
      </c>
      <c r="AB13" s="60">
        <f t="shared" si="11"/>
        <v>2.908559665316422E-6</v>
      </c>
    </row>
    <row r="14" spans="1:28" x14ac:dyDescent="0.25">
      <c r="A14" s="57" t="str">
        <f>up_isospec!A12</f>
        <v>Rn-220~Po-216</v>
      </c>
      <c r="B14" s="60">
        <f t="shared" si="6"/>
        <v>9.9707751501059973E-9</v>
      </c>
      <c r="C14" s="60">
        <f t="shared" si="7"/>
        <v>9.9707751501059975E-12</v>
      </c>
      <c r="D14" s="60">
        <f>(C14/1000)*s_Aeq_Feq!E12</f>
        <v>0</v>
      </c>
      <c r="E14" s="60"/>
      <c r="F14" s="60"/>
      <c r="G14" s="60"/>
      <c r="H14" s="60">
        <f>IFERROR((s_TR)/(up_isospec!B12*s_IFAres_adj)/s_Aeq_Feq!B12,0)</f>
        <v>9.977019079749899E-9</v>
      </c>
      <c r="I14" s="60">
        <f>IFERROR((s_TR)/(up_isospec!C12*s_EFres*(1/365)*s_EDres*s_ETres*(1/24)*s_GSFa)/s_Aeq_Feq!B12,0)</f>
        <v>1.5932052342975619E-5</v>
      </c>
      <c r="J14" s="60">
        <f t="shared" si="8"/>
        <v>9.9707751501059973E-9</v>
      </c>
      <c r="T14" s="60">
        <f t="shared" si="9"/>
        <v>2.9094324950649415E-9</v>
      </c>
      <c r="U14" s="60">
        <f t="shared" si="10"/>
        <v>2.9094324950649414E-12</v>
      </c>
      <c r="V14" s="60">
        <f>(U14/1000)*s_Aeq_Feq!G12</f>
        <v>0</v>
      </c>
      <c r="W14" s="60"/>
      <c r="X14" s="60"/>
      <c r="Y14" s="60"/>
      <c r="Z14" s="60">
        <f>IFERROR((s_TR)/(up_isospec!B12*s_EFw*s_EDw*s_ETw*(1/24)*s_IRAw)/s_Aeq_Feq!C12,0)</f>
        <v>2.9099638982603872E-9</v>
      </c>
      <c r="AA14" s="60">
        <f>IFERROR((s_TR)/(up_isospec!C12*s_EFw*(1/365)*s_EDw*s_ETw*(1/24)*s_GSFa)/s_Aeq_Feq!C12,0)</f>
        <v>1.5932052342975619E-5</v>
      </c>
      <c r="AB14" s="60">
        <f t="shared" si="11"/>
        <v>2.9094324950649415E-9</v>
      </c>
    </row>
    <row r="15" spans="1:28" x14ac:dyDescent="0.25">
      <c r="A15" s="57" t="str">
        <f>up_isospec!A13</f>
        <v>Rn-220~Tl-208</v>
      </c>
      <c r="B15" s="60">
        <f t="shared" si="6"/>
        <v>2.4919459793902415E-5</v>
      </c>
      <c r="C15" s="60">
        <f t="shared" si="7"/>
        <v>2.4919459793902416E-8</v>
      </c>
      <c r="D15" s="60">
        <f>(C15/1000)*s_Aeq_Feq!E13</f>
        <v>0</v>
      </c>
      <c r="E15" s="60"/>
      <c r="F15" s="60"/>
      <c r="G15" s="60"/>
      <c r="H15" s="60">
        <f>IFERROR((s_TR)/(up_isospec!B13*s_IFAres_adj)/s_Aeq_Feq!B13,0)</f>
        <v>2.4935064935064935E-5</v>
      </c>
      <c r="I15" s="60">
        <f>IFERROR((s_TR)/(up_isospec!C13*s_EFres*(1/365)*s_EDres*s_ETres*(1/24)*s_GSFa)/s_Aeq_Feq!B13,0)</f>
        <v>3.9818181818181815E-2</v>
      </c>
      <c r="J15" s="60">
        <f t="shared" si="8"/>
        <v>2.4919459793902415E-5</v>
      </c>
      <c r="T15" s="60">
        <f t="shared" si="9"/>
        <v>7.2713991632910549E-6</v>
      </c>
      <c r="U15" s="60">
        <f t="shared" si="10"/>
        <v>7.2713991632910546E-9</v>
      </c>
      <c r="V15" s="60">
        <f>(U15/1000)*s_Aeq_Feq!G13</f>
        <v>0</v>
      </c>
      <c r="W15" s="60"/>
      <c r="X15" s="60"/>
      <c r="Y15" s="60"/>
      <c r="Z15" s="60">
        <f>IFERROR((s_TR)/(up_isospec!B13*s_EFw*s_EDw*s_ETw*(1/24)*s_IRAw)/s_Aeq_Feq!C13,0)</f>
        <v>7.2727272727272723E-6</v>
      </c>
      <c r="AA15" s="60">
        <f>IFERROR((s_TR)/(up_isospec!C13*s_EFw*(1/365)*s_EDw*s_ETw*(1/24)*s_GSFa)/s_Aeq_Feq!C13,0)</f>
        <v>3.9818181818181815E-2</v>
      </c>
      <c r="AB15" s="60">
        <f t="shared" si="11"/>
        <v>7.2713991632910549E-6</v>
      </c>
    </row>
    <row r="16" spans="1:28" x14ac:dyDescent="0.25">
      <c r="A16" s="57" t="str">
        <f>up_isospec!A14</f>
        <v>Rn-222</v>
      </c>
      <c r="B16" s="59">
        <f>1/(SUM((1/B17),(1/B18),(1/B20),(1/B23),(1/B25),(1/B26),(1/B27),(1/B29)))</f>
        <v>4.9765406502559798E-9</v>
      </c>
      <c r="C16" s="59">
        <f>1/(SUM((1/C17),(1/C18),(1/C20),(1/C23),(1/C25),(1/C26),(1/C27),(1/C29)))</f>
        <v>4.9765406502559802E-12</v>
      </c>
      <c r="D16" s="59">
        <f>IFERROR(1/(1/D17),0)</f>
        <v>3.4681154197008814E-17</v>
      </c>
      <c r="E16" s="59">
        <f>B16/s_AFss</f>
        <v>9.9530813005119589E-8</v>
      </c>
      <c r="F16" s="59">
        <f>(B16/s_AFss)/1000</f>
        <v>9.9530813005119591E-11</v>
      </c>
      <c r="G16" s="59">
        <f>IFERROR(B16/(s_AFgw*1000*up_isospec!M14),0)</f>
        <v>1.1768138176000674E-11</v>
      </c>
      <c r="H16" s="59">
        <f>1/(SUM((1/H17),(1/H18),(1/H20),(1/H23),(1/H25),(1/H26),(1/H27),(1/H29)))</f>
        <v>4.9796570749293307E-9</v>
      </c>
      <c r="I16" s="59">
        <f>1/(SUM((1/I17),(1/I18),(1/I20),(1/I23),(1/I25),(1/I26),(1/I27),(1/I29)))</f>
        <v>7.9518898915277734E-6</v>
      </c>
      <c r="J16" s="59">
        <f>1/(SUM((1/J17),(1/J18),(1/J20),(1/J23),(1/J25),(1/J26),(1/J27),(1/J29)))</f>
        <v>4.9765406502559798E-9</v>
      </c>
      <c r="T16" s="59">
        <f>1/(SUM((1/T17),(1/T18),(1/T20),(1/T23),(1/T25),(1/T26),(1/T27),(1/T29)))</f>
        <v>1.4521347500963788E-9</v>
      </c>
      <c r="U16" s="59">
        <f>1/(SUM((1/U17),(1/U18),(1/U20),(1/U23),(1/U25),(1/U26),(1/U27),(1/U29)))</f>
        <v>1.452134750096379E-12</v>
      </c>
      <c r="V16" s="59">
        <f>1/(1/V17)</f>
        <v>1.0119822728733649E-17</v>
      </c>
      <c r="W16" s="59">
        <f>T16/s_AFss</f>
        <v>2.9042695001927575E-8</v>
      </c>
      <c r="X16" s="59">
        <f>(T16/s_AFss)/1000</f>
        <v>2.9042695001927575E-11</v>
      </c>
      <c r="Y16" s="59">
        <f>IFERROR(T16/(s_AFgw*1000*up_isospec!M14),0)</f>
        <v>3.4338958707043588E-12</v>
      </c>
      <c r="Z16" s="59">
        <f>1/(SUM((1/Z17),(1/Z18),(1/Z20),(1/Z23),(1/Z25),(1/Z26),(1/Z27),(1/Z29)))</f>
        <v>1.4523999801877212E-9</v>
      </c>
      <c r="AA16" s="59">
        <f>1/(SUM((1/AA17),(1/AA18),(1/AA20),(1/AA23),(1/AA25),(1/AA26),(1/AA27),(1/AA29)))</f>
        <v>7.9518898915277734E-6</v>
      </c>
      <c r="AB16" s="59">
        <f>1/(SUM((1/AB17),(1/AB18),(1/AB20),(1/AB23),(1/AB25),(1/AB26),(1/AB27),(1/AB29)))</f>
        <v>1.4521347500963788E-9</v>
      </c>
    </row>
    <row r="17" spans="1:37" x14ac:dyDescent="0.25">
      <c r="A17" s="23" t="s">
        <v>1</v>
      </c>
      <c r="B17" s="60">
        <f>J17</f>
        <v>9.9677839175609659E-9</v>
      </c>
      <c r="C17" s="60">
        <f t="shared" ref="C17:C18" si="12">MIN(I17:J17)/1000</f>
        <v>9.967783917560966E-12</v>
      </c>
      <c r="D17" s="60">
        <f>(C17/1000)*s_Aeq_Feq!E14</f>
        <v>3.4681154197008814E-17</v>
      </c>
      <c r="E17" s="60"/>
      <c r="F17" s="60"/>
      <c r="G17" s="60"/>
      <c r="H17" s="60">
        <f>IFERROR((s_TR)/(up_isospec!B14*s_IFAres_adj)/s_Aeq_Feq!B14,0)</f>
        <v>9.9740259740259751E-9</v>
      </c>
      <c r="I17" s="60">
        <f>IFERROR((s_TR)/(up_isospec!C14*s_EFres*(1/365)*s_EDres*s_ETres*(1/24)*s_GSFa)/s_Aeq_Feq!B14,0)</f>
        <v>1.5927272727272727E-5</v>
      </c>
      <c r="J17" s="60">
        <f>IFERROR(IF(AND(H17&lt;&gt;0,I17&lt;&gt;0),1/((1/H17)+(1/I17)),IF(AND(H17&lt;&gt;0,I17=0),1/(1/H17),IF(AND(H17=0,I17&lt;&gt;0),1/(1/I17),IF(AND(H17=0,I17=0),0)))),0)</f>
        <v>9.9677839175609659E-9</v>
      </c>
      <c r="T17" s="60">
        <f t="shared" ref="T17:T18" si="13">AB17</f>
        <v>2.908559665316422E-9</v>
      </c>
      <c r="U17" s="60">
        <f t="shared" ref="U17:U18" si="14">MIN(AA17:AB17)/1000</f>
        <v>2.908559665316422E-12</v>
      </c>
      <c r="V17" s="60">
        <f>(U17/1000)*s_Aeq_Feq!G14</f>
        <v>1.0119822728733649E-17</v>
      </c>
      <c r="W17" s="60"/>
      <c r="X17" s="60"/>
      <c r="Y17" s="60"/>
      <c r="Z17" s="60">
        <f>IFERROR((s_TR)/(up_isospec!B14*s_EFw*s_EDw*s_ETw*(1/24)*s_IRAw)/s_Aeq_Feq!C14,0)</f>
        <v>2.9090909090909091E-9</v>
      </c>
      <c r="AA17" s="60">
        <f>IFERROR((s_TR)/(up_isospec!C14*s_EFw*(1/365)*s_EDw*s_ETw*(1/24)*s_GSFa)/s_Aeq_Feq!C14,0)</f>
        <v>1.5927272727272727E-5</v>
      </c>
      <c r="AB17" s="60">
        <f t="shared" ref="AB17:AB18" si="15">IFERROR(IF(AND(Z17&lt;&gt;0,AA17&lt;&gt;0),1/((1/Z17)+(1/AA17)),IF(AND(Z17&lt;&gt;0,AA17=0),1/(1/Z17),IF(AND(Z17=0,AA17&lt;&gt;0),1/(1/AA17),IF(AND(Z17=0,AA17=0),0)))),0)</f>
        <v>2.908559665316422E-9</v>
      </c>
    </row>
    <row r="18" spans="1:37" x14ac:dyDescent="0.25">
      <c r="A18" s="23" t="s">
        <v>108</v>
      </c>
      <c r="B18" s="60">
        <f>J18</f>
        <v>6.8743337362489428E-5</v>
      </c>
      <c r="C18" s="60">
        <f t="shared" si="12"/>
        <v>6.8743337362489431E-8</v>
      </c>
      <c r="D18" s="60">
        <f>(C18/1000)*s_Aeq_Feq!E15</f>
        <v>0</v>
      </c>
      <c r="E18" s="60"/>
      <c r="F18" s="60"/>
      <c r="G18" s="60"/>
      <c r="H18" s="60">
        <f>IFERROR((s_TR)/(up_isospec!B15*s_IFAres_adj)/s_Aeq_Feq!B15,0)</f>
        <v>6.8786386027765351E-5</v>
      </c>
      <c r="I18" s="60">
        <f>IFERROR((s_TR)/(up_isospec!C15*s_EFres*(1/365)*s_EDres*s_ETres*(1/24)*s_GSFa)/s_Aeq_Feq!B15,0)</f>
        <v>0.10984326018808777</v>
      </c>
      <c r="J18" s="60">
        <f t="shared" ref="J18" si="16">IFERROR(IF(AND(H18&lt;&gt;0,I18&lt;&gt;0),1/((1/H18)+(1/I18)),IF(AND(H18&lt;&gt;0,I18=0),1/(1/H18),IF(AND(H18=0,I18&lt;&gt;0),1/(1/I18),IF(AND(H18=0,I18=0),0)))),0)</f>
        <v>6.8743337362489428E-5</v>
      </c>
      <c r="N18" s="56"/>
      <c r="T18" s="60">
        <f t="shared" si="13"/>
        <v>2.0059032174596014E-5</v>
      </c>
      <c r="U18" s="60">
        <f t="shared" si="14"/>
        <v>2.0059032174596014E-8</v>
      </c>
      <c r="V18" s="60">
        <f>(U18/1000)*s_Aeq_Feq!G15</f>
        <v>0</v>
      </c>
      <c r="W18" s="60"/>
      <c r="X18" s="60"/>
      <c r="Y18" s="60"/>
      <c r="Z18" s="60">
        <f>IFERROR((s_TR)/(up_isospec!B15*s_EFw*s_EDw*s_ETw*(1/24)*s_IRAw)/s_Aeq_Feq!C15,0)</f>
        <v>2.006269592476489E-5</v>
      </c>
      <c r="AA18" s="60">
        <f>IFERROR((s_TR)/(up_isospec!C15*s_EFw*(1/365)*s_EDw*s_ETw*(1/24)*s_GSFa)/s_Aeq_Feq!C15,0)</f>
        <v>0.10984326018808777</v>
      </c>
      <c r="AB18" s="60">
        <f t="shared" si="15"/>
        <v>2.0059032174596014E-5</v>
      </c>
    </row>
    <row r="19" spans="1:37" x14ac:dyDescent="0.25">
      <c r="A19" s="23" t="s">
        <v>173</v>
      </c>
      <c r="B19" s="60">
        <f t="shared" ref="B19:B29" si="17">J19</f>
        <v>0</v>
      </c>
      <c r="C19" s="60">
        <f t="shared" ref="C19:C29" si="18">MIN(I19:J19)/1000</f>
        <v>0</v>
      </c>
      <c r="D19" s="60">
        <f>(C19/1000)*s_Aeq_Feq!E16</f>
        <v>0</v>
      </c>
      <c r="E19" s="60"/>
      <c r="F19" s="60"/>
      <c r="G19" s="60"/>
      <c r="H19" s="60">
        <f>IFERROR((s_TR)/(up_isospec!B16*s_IFAres_adj)/s_Aeq_Feq!B16,0)</f>
        <v>0</v>
      </c>
      <c r="I19" s="60">
        <f>IFERROR((s_TR)/(up_isospec!C16*s_EFres*(1/365)*s_EDres*s_ETres*(1/24)*s_GSFa)/s_Aeq_Feq!B16,0)</f>
        <v>0</v>
      </c>
      <c r="J19" s="60">
        <f t="shared" ref="J19:J29" si="19">IFERROR(IF(AND(H19&lt;&gt;0,I19&lt;&gt;0),1/((1/H19)+(1/I19)),IF(AND(H19&lt;&gt;0,I19=0),1/(1/H19),IF(AND(H19=0,I19&lt;&gt;0),1/(1/I19),IF(AND(H19=0,I19=0),0)))),0)</f>
        <v>0</v>
      </c>
      <c r="N19" s="56"/>
      <c r="T19" s="60">
        <f t="shared" ref="T19:T29" si="20">AB19</f>
        <v>0</v>
      </c>
      <c r="U19" s="60">
        <f t="shared" ref="U19:U29" si="21">MIN(AA19:AB19)/1000</f>
        <v>0</v>
      </c>
      <c r="V19" s="60">
        <f>(U19/1000)*s_Aeq_Feq!G16</f>
        <v>0</v>
      </c>
      <c r="W19" s="60"/>
      <c r="X19" s="60"/>
      <c r="Y19" s="60"/>
      <c r="Z19" s="60">
        <f>IFERROR((s_TR)/(up_isospec!B16*s_EFw*s_EDw*s_ETw*(1/24)*s_IRAw)/s_Aeq_Feq!C16,0)</f>
        <v>0</v>
      </c>
      <c r="AA19" s="60">
        <f>IFERROR((s_TR)/(up_isospec!C16*s_EFw*(1/365)*s_EDw*s_ETw*(1/24)*s_GSFa)/s_Aeq_Feq!C16,0)</f>
        <v>0</v>
      </c>
      <c r="AB19" s="60">
        <f t="shared" ref="AB19:AB29" si="22">IFERROR(IF(AND(Z19&lt;&gt;0,AA19&lt;&gt;0),1/((1/Z19)+(1/AA19)),IF(AND(Z19&lt;&gt;0,AA19=0),1/(1/Z19),IF(AND(Z19=0,AA19&lt;&gt;0),1/(1/AA19),IF(AND(Z19=0,AA19=0),0)))),0)</f>
        <v>0</v>
      </c>
    </row>
    <row r="20" spans="1:37" x14ac:dyDescent="0.25">
      <c r="A20" s="23" t="s">
        <v>109</v>
      </c>
      <c r="B20" s="60">
        <f t="shared" si="17"/>
        <v>1.9583072529589321E-7</v>
      </c>
      <c r="C20" s="60">
        <f t="shared" si="18"/>
        <v>1.9583072529589322E-10</v>
      </c>
      <c r="D20" s="60">
        <f>(C20/1000)*s_Aeq_Feq!E17</f>
        <v>0</v>
      </c>
      <c r="E20" s="60"/>
      <c r="F20" s="60"/>
      <c r="G20" s="60"/>
      <c r="H20" s="60">
        <f>IFERROR((s_TR)/(up_isospec!B17*s_IFAres_adj)/s_Aeq_Feq!B17,0)</f>
        <v>1.9595335901819203E-7</v>
      </c>
      <c r="I20" s="60">
        <f>IFERROR((s_TR)/(up_isospec!C17*s_EFres*(1/365)*s_EDres*s_ETres*(1/24)*s_GSFa)/s_Aeq_Feq!B17,0)</f>
        <v>3.1291302018217538E-4</v>
      </c>
      <c r="J20" s="60">
        <f t="shared" si="19"/>
        <v>1.9583072529589321E-7</v>
      </c>
      <c r="N20" s="56"/>
      <c r="T20" s="60">
        <f t="shared" si="20"/>
        <v>5.7142626037650724E-8</v>
      </c>
      <c r="U20" s="60">
        <f t="shared" si="21"/>
        <v>5.7142626037650722E-11</v>
      </c>
      <c r="V20" s="60">
        <f>(U20/1000)*s_Aeq_Feq!G17</f>
        <v>0</v>
      </c>
      <c r="W20" s="60"/>
      <c r="X20" s="60"/>
      <c r="Y20" s="60"/>
      <c r="Z20" s="60">
        <f>IFERROR((s_TR)/(up_isospec!B17*s_EFw*s_EDw*s_ETw*(1/24)*s_IRAw)/s_Aeq_Feq!C17,0)</f>
        <v>5.7153063046972675E-8</v>
      </c>
      <c r="AA20" s="60">
        <f>IFERROR((s_TR)/(up_isospec!C17*s_EFw*(1/365)*s_EDw*s_ETw*(1/24)*s_GSFa)/s_Aeq_Feq!C17,0)</f>
        <v>3.1291302018217538E-4</v>
      </c>
      <c r="AB20" s="60">
        <f t="shared" si="22"/>
        <v>5.7142626037650724E-8</v>
      </c>
    </row>
    <row r="21" spans="1:37" x14ac:dyDescent="0.25">
      <c r="A21" s="23" t="s">
        <v>174</v>
      </c>
      <c r="B21" s="60">
        <f t="shared" si="17"/>
        <v>0</v>
      </c>
      <c r="C21" s="60">
        <f t="shared" si="18"/>
        <v>0</v>
      </c>
      <c r="D21" s="60">
        <f>(C21/1000)*s_Aeq_Feq!E18</f>
        <v>0</v>
      </c>
      <c r="E21" s="60"/>
      <c r="F21" s="60"/>
      <c r="G21" s="60"/>
      <c r="H21" s="60">
        <f>IFERROR((s_TR)/(up_isospec!B18*s_IFAres_adj)/s_Aeq_Feq!B18,0)</f>
        <v>0</v>
      </c>
      <c r="I21" s="60">
        <f>IFERROR((s_TR)/(up_isospec!C18*s_EFres*(1/365)*s_EDres*s_ETres*(1/24)*s_GSFa)/s_Aeq_Feq!B18,0)</f>
        <v>0</v>
      </c>
      <c r="J21" s="60">
        <f t="shared" si="19"/>
        <v>0</v>
      </c>
      <c r="N21" s="56"/>
      <c r="T21" s="60">
        <f t="shared" si="20"/>
        <v>0</v>
      </c>
      <c r="U21" s="60">
        <f t="shared" si="21"/>
        <v>0</v>
      </c>
      <c r="V21" s="60">
        <f>(U21/1000)*s_Aeq_Feq!G18</f>
        <v>0</v>
      </c>
      <c r="W21" s="60"/>
      <c r="X21" s="60"/>
      <c r="Y21" s="60"/>
      <c r="Z21" s="60">
        <f>IFERROR((s_TR)/(up_isospec!B18*s_EFw*s_EDw*s_ETw*(1/24)*s_IRAw)/s_Aeq_Feq!C18,0)</f>
        <v>0</v>
      </c>
      <c r="AA21" s="60">
        <f>IFERROR((s_TR)/(up_isospec!C18*s_EFw*(1/365)*s_EDw*s_ETw*(1/24)*s_GSFa)/s_Aeq_Feq!C18,0)</f>
        <v>0</v>
      </c>
      <c r="AB21" s="60">
        <f t="shared" si="22"/>
        <v>0</v>
      </c>
    </row>
    <row r="22" spans="1:37" x14ac:dyDescent="0.25">
      <c r="A22" s="23" t="s">
        <v>175</v>
      </c>
      <c r="B22" s="60">
        <f t="shared" si="17"/>
        <v>0</v>
      </c>
      <c r="C22" s="60">
        <f t="shared" si="18"/>
        <v>0</v>
      </c>
      <c r="D22" s="60">
        <f>(C22/1000)*s_Aeq_Feq!E19</f>
        <v>0</v>
      </c>
      <c r="E22" s="60"/>
      <c r="F22" s="60"/>
      <c r="G22" s="60"/>
      <c r="H22" s="60">
        <f>IFERROR((s_TR)/(up_isospec!B19*s_IFAres_adj)/s_Aeq_Feq!B19,0)</f>
        <v>0</v>
      </c>
      <c r="I22" s="60">
        <f>IFERROR((s_TR)/(up_isospec!C19*s_EFres*(1/365)*s_EDres*s_ETres*(1/24)*s_GSFa)/s_Aeq_Feq!B19,0)</f>
        <v>0</v>
      </c>
      <c r="J22" s="60">
        <f t="shared" si="19"/>
        <v>0</v>
      </c>
      <c r="N22" s="56"/>
      <c r="T22" s="60">
        <f t="shared" si="20"/>
        <v>0</v>
      </c>
      <c r="U22" s="60">
        <f t="shared" si="21"/>
        <v>0</v>
      </c>
      <c r="V22" s="60">
        <f>(U22/1000)*s_Aeq_Feq!G19</f>
        <v>0</v>
      </c>
      <c r="W22" s="60"/>
      <c r="X22" s="60"/>
      <c r="Y22" s="60"/>
      <c r="Z22" s="60">
        <f>IFERROR((s_TR)/(up_isospec!B19*s_EFw*s_EDw*s_ETw*(1/24)*s_IRAw)/s_Aeq_Feq!C19,0)</f>
        <v>0</v>
      </c>
      <c r="AA22" s="60">
        <f>IFERROR((s_TR)/(up_isospec!C19*s_EFw*(1/365)*s_EDw*s_ETw*(1/24)*s_GSFa)/s_Aeq_Feq!C19,0)</f>
        <v>0</v>
      </c>
      <c r="AB22" s="60">
        <f t="shared" si="22"/>
        <v>0</v>
      </c>
    </row>
    <row r="23" spans="1:37" x14ac:dyDescent="0.25">
      <c r="A23" s="23" t="s">
        <v>107</v>
      </c>
      <c r="B23" s="60">
        <f t="shared" si="17"/>
        <v>5.7617248078387088E-8</v>
      </c>
      <c r="C23" s="60">
        <f t="shared" si="18"/>
        <v>5.7617248078387091E-11</v>
      </c>
      <c r="D23" s="60">
        <f>(C23/1000)*s_Aeq_Feq!E20</f>
        <v>0</v>
      </c>
      <c r="E23" s="60"/>
      <c r="F23" s="60"/>
      <c r="G23" s="60"/>
      <c r="H23" s="60">
        <f>IFERROR((s_TR)/(up_isospec!B20*s_IFAres_adj)/s_Aeq_Feq!B20,0)</f>
        <v>5.7653329329629915E-8</v>
      </c>
      <c r="I23" s="60">
        <f>IFERROR((s_TR)/(up_isospec!C20*s_EFres*(1/365)*s_EDres*s_ETres*(1/24)*s_GSFa)/s_Aeq_Feq!B20,0)</f>
        <v>9.2065160273252766E-5</v>
      </c>
      <c r="J23" s="60">
        <f t="shared" si="19"/>
        <v>5.7617248078387088E-8</v>
      </c>
      <c r="N23" s="56"/>
      <c r="T23" s="60">
        <f t="shared" si="20"/>
        <v>1.6812483614545793E-8</v>
      </c>
      <c r="U23" s="60">
        <f t="shared" si="21"/>
        <v>1.6812483614545794E-11</v>
      </c>
      <c r="V23" s="60">
        <f>(U23/1000)*s_Aeq_Feq!G20</f>
        <v>0</v>
      </c>
      <c r="W23" s="60"/>
      <c r="X23" s="60"/>
      <c r="Y23" s="60"/>
      <c r="Z23" s="60">
        <f>IFERROR((s_TR)/(up_isospec!B20*s_EFw*s_EDw*s_ETw*(1/24)*s_IRAw)/s_Aeq_Feq!C20,0)</f>
        <v>1.6815554387808724E-8</v>
      </c>
      <c r="AA23" s="60">
        <f>IFERROR((s_TR)/(up_isospec!C20*s_EFw*(1/365)*s_EDw*s_ETw*(1/24)*s_GSFa)/s_Aeq_Feq!C20,0)</f>
        <v>9.2065160273252766E-5</v>
      </c>
      <c r="AB23" s="60">
        <f t="shared" si="22"/>
        <v>1.6812483614545793E-8</v>
      </c>
    </row>
    <row r="24" spans="1:37" x14ac:dyDescent="0.25">
      <c r="A24" s="23" t="s">
        <v>176</v>
      </c>
      <c r="B24" s="60">
        <f t="shared" si="17"/>
        <v>0</v>
      </c>
      <c r="C24" s="60">
        <f t="shared" si="18"/>
        <v>0</v>
      </c>
      <c r="D24" s="60">
        <f>(C24/1000)*s_Aeq_Feq!E21</f>
        <v>0</v>
      </c>
      <c r="E24" s="60"/>
      <c r="F24" s="60"/>
      <c r="G24" s="60"/>
      <c r="H24" s="60">
        <f>IFERROR((s_TR)/(up_isospec!B21*s_IFAres_adj)/s_Aeq_Feq!B21,0)</f>
        <v>0</v>
      </c>
      <c r="I24" s="60">
        <f>IFERROR((s_TR)/(up_isospec!C21*s_EFres*(1/365)*s_EDres*s_ETres*(1/24)*s_GSFa)/s_Aeq_Feq!B21,0)</f>
        <v>0</v>
      </c>
      <c r="J24" s="60">
        <f t="shared" si="19"/>
        <v>0</v>
      </c>
      <c r="T24" s="60">
        <f t="shared" si="20"/>
        <v>0</v>
      </c>
      <c r="U24" s="60">
        <f t="shared" si="21"/>
        <v>0</v>
      </c>
      <c r="V24" s="60">
        <f>(U24/1000)*s_Aeq_Feq!G21</f>
        <v>0</v>
      </c>
      <c r="W24" s="60"/>
      <c r="X24" s="60"/>
      <c r="Y24" s="60"/>
      <c r="Z24" s="60">
        <f>IFERROR((s_TR)/(up_isospec!B21*s_EFw*s_EDw*s_ETw*(1/24)*s_IRAw)/s_Aeq_Feq!C21,0)</f>
        <v>0</v>
      </c>
      <c r="AA24" s="60">
        <f>IFERROR((s_TR)/(up_isospec!C21*s_EFw*(1/365)*s_EDw*s_ETw*(1/24)*s_GSFa)/s_Aeq_Feq!C21,0)</f>
        <v>0</v>
      </c>
      <c r="AB24" s="60">
        <f t="shared" si="22"/>
        <v>0</v>
      </c>
    </row>
    <row r="25" spans="1:37" x14ac:dyDescent="0.25">
      <c r="A25" s="23" t="s">
        <v>111</v>
      </c>
      <c r="B25" s="60">
        <f t="shared" si="17"/>
        <v>1.9583072529589321E-7</v>
      </c>
      <c r="C25" s="60">
        <f t="shared" si="18"/>
        <v>1.9583072529589322E-10</v>
      </c>
      <c r="D25" s="60">
        <f>(C25/1000)*s_Aeq_Feq!E22</f>
        <v>0</v>
      </c>
      <c r="E25" s="60"/>
      <c r="F25" s="60"/>
      <c r="G25" s="60"/>
      <c r="H25" s="60">
        <f>IFERROR((s_TR)/(up_isospec!B22*s_IFAres_adj)/s_Aeq_Feq!B22,0)</f>
        <v>1.9595335901819203E-7</v>
      </c>
      <c r="I25" s="60">
        <f>IFERROR((s_TR)/(up_isospec!C22*s_EFres*(1/365)*s_EDres*s_ETres*(1/24)*s_GSFa)/s_Aeq_Feq!B22,0)</f>
        <v>3.1291302018217538E-4</v>
      </c>
      <c r="J25" s="60">
        <f t="shared" si="19"/>
        <v>1.9583072529589321E-7</v>
      </c>
      <c r="T25" s="60">
        <f t="shared" si="20"/>
        <v>5.7142626037650724E-8</v>
      </c>
      <c r="U25" s="60">
        <f t="shared" si="21"/>
        <v>5.7142626037650722E-11</v>
      </c>
      <c r="V25" s="60">
        <f>(U25/1000)*s_Aeq_Feq!G22</f>
        <v>0</v>
      </c>
      <c r="W25" s="60"/>
      <c r="X25" s="60"/>
      <c r="Y25" s="60"/>
      <c r="Z25" s="60">
        <f>IFERROR((s_TR)/(up_isospec!B22*s_EFw*s_EDw*s_ETw*(1/24)*s_IRAw)/s_Aeq_Feq!C22,0)</f>
        <v>5.7153063046972675E-8</v>
      </c>
      <c r="AA25" s="60">
        <f>IFERROR((s_TR)/(up_isospec!C22*s_EFw*(1/365)*s_EDw*s_ETw*(1/24)*s_GSFa)/s_Aeq_Feq!C22,0)</f>
        <v>3.1291302018217538E-4</v>
      </c>
      <c r="AB25" s="60">
        <f t="shared" si="22"/>
        <v>5.7142626037650724E-8</v>
      </c>
    </row>
    <row r="26" spans="1:37" x14ac:dyDescent="0.25">
      <c r="A26" s="23" t="s">
        <v>106</v>
      </c>
      <c r="B26" s="60">
        <f t="shared" si="17"/>
        <v>1.3692010875770558E-8</v>
      </c>
      <c r="C26" s="60">
        <f t="shared" si="18"/>
        <v>1.3692010875770558E-11</v>
      </c>
      <c r="D26" s="60">
        <f>(C26/1000)*s_Aeq_Feq!E23</f>
        <v>0</v>
      </c>
      <c r="E26" s="60"/>
      <c r="F26" s="60"/>
      <c r="G26" s="60"/>
      <c r="H26" s="60">
        <f>IFERROR((s_TR)/(up_isospec!B23*s_IFAres_adj)/s_Aeq_Feq!B23,0)</f>
        <v>1.370058512915656E-8</v>
      </c>
      <c r="I26" s="60">
        <f>IFERROR((s_TR)/(up_isospec!C23*s_EFres*(1/365)*s_EDres*s_ETres*(1/24)*s_GSFa)/s_Aeq_Feq!B23,0)</f>
        <v>2.1878121878121879E-5</v>
      </c>
      <c r="J26" s="60">
        <f t="shared" si="19"/>
        <v>1.3692010875770558E-8</v>
      </c>
      <c r="T26" s="60">
        <f t="shared" si="20"/>
        <v>3.9952742655445353E-9</v>
      </c>
      <c r="U26" s="60">
        <f t="shared" si="21"/>
        <v>3.9952742655445354E-12</v>
      </c>
      <c r="V26" s="60">
        <f>(U26/1000)*s_Aeq_Feq!G23</f>
        <v>0</v>
      </c>
      <c r="W26" s="60"/>
      <c r="X26" s="60"/>
      <c r="Y26" s="60"/>
      <c r="Z26" s="60">
        <f>IFERROR((s_TR)/(up_isospec!B23*s_EFw*s_EDw*s_ETw*(1/24)*s_IRAw)/s_Aeq_Feq!C23,0)</f>
        <v>3.9960039960039958E-9</v>
      </c>
      <c r="AA26" s="60">
        <f>IFERROR((s_TR)/(up_isospec!C23*s_EFw*(1/365)*s_EDw*s_ETw*(1/24)*s_GSFa)/s_Aeq_Feq!C23,0)</f>
        <v>2.1878121878121879E-5</v>
      </c>
      <c r="AB26" s="60">
        <f t="shared" si="22"/>
        <v>3.9952742655445353E-9</v>
      </c>
    </row>
    <row r="27" spans="1:37" x14ac:dyDescent="0.25">
      <c r="A27" s="23" t="s">
        <v>110</v>
      </c>
      <c r="B27" s="60">
        <f t="shared" si="17"/>
        <v>6.8743337362489429E-2</v>
      </c>
      <c r="C27" s="60">
        <f t="shared" si="18"/>
        <v>6.8743337362489428E-5</v>
      </c>
      <c r="D27" s="60">
        <f>(C27/1000)*s_Aeq_Feq!E24</f>
        <v>0</v>
      </c>
      <c r="E27" s="60"/>
      <c r="F27" s="60"/>
      <c r="G27" s="60"/>
      <c r="H27" s="60">
        <f>IFERROR((s_TR)/(up_isospec!B24*s_IFAres_adj)/s_Aeq_Feq!B24,0)</f>
        <v>6.878638602776535E-2</v>
      </c>
      <c r="I27" s="60">
        <f>IFERROR((s_TR)/(up_isospec!C24*s_EFres*(1/365)*s_EDres*s_ETres*(1/24)*s_GSFa)/s_Aeq_Feq!B24,0)</f>
        <v>109.84326018808778</v>
      </c>
      <c r="J27" s="60">
        <f t="shared" si="19"/>
        <v>6.8743337362489429E-2</v>
      </c>
      <c r="T27" s="60">
        <f t="shared" si="20"/>
        <v>2.0059032174596012E-2</v>
      </c>
      <c r="U27" s="60">
        <f t="shared" si="21"/>
        <v>2.0059032174596011E-5</v>
      </c>
      <c r="V27" s="60">
        <f>(U27/1000)*s_Aeq_Feq!G24</f>
        <v>0</v>
      </c>
      <c r="W27" s="60"/>
      <c r="X27" s="60"/>
      <c r="Y27" s="60"/>
      <c r="Z27" s="60">
        <f>IFERROR((s_TR)/(up_isospec!B24*s_EFw*s_EDw*s_ETw*(1/24)*s_IRAw)/s_Aeq_Feq!C24,0)</f>
        <v>2.0062695924764892E-2</v>
      </c>
      <c r="AA27" s="60">
        <f>IFERROR((s_TR)/(up_isospec!C24*s_EFw*(1/365)*s_EDw*s_ETw*(1/24)*s_GSFa)/s_Aeq_Feq!C24,0)</f>
        <v>109.84326018808778</v>
      </c>
      <c r="AB27" s="60">
        <f t="shared" si="22"/>
        <v>2.0059032174596012E-2</v>
      </c>
    </row>
    <row r="28" spans="1:37" x14ac:dyDescent="0.25">
      <c r="A28" s="23" t="s">
        <v>177</v>
      </c>
      <c r="B28" s="60">
        <f t="shared" si="17"/>
        <v>0</v>
      </c>
      <c r="C28" s="60">
        <f t="shared" si="18"/>
        <v>0</v>
      </c>
      <c r="D28" s="60">
        <f>(C28/1000)*s_Aeq_Feq!E25</f>
        <v>0</v>
      </c>
      <c r="E28" s="60"/>
      <c r="F28" s="60"/>
      <c r="G28" s="60"/>
      <c r="H28" s="60">
        <f>IFERROR((s_TR)/(up_isospec!B25*s_IFAres_adj)/s_Aeq_Feq!B25,0)</f>
        <v>0</v>
      </c>
      <c r="I28" s="60">
        <f>IFERROR((s_TR)/(up_isospec!C25*s_EFres*(1/365)*s_EDres*s_ETres*(1/24)*s_GSFa)/s_Aeq_Feq!B25,0)</f>
        <v>0</v>
      </c>
      <c r="J28" s="60">
        <f t="shared" si="19"/>
        <v>0</v>
      </c>
      <c r="T28" s="60">
        <f t="shared" si="20"/>
        <v>0</v>
      </c>
      <c r="U28" s="60">
        <f t="shared" si="21"/>
        <v>0</v>
      </c>
      <c r="V28" s="60">
        <f>(U28/1000)*s_Aeq_Feq!G25</f>
        <v>0</v>
      </c>
      <c r="W28" s="60"/>
      <c r="X28" s="60"/>
      <c r="Y28" s="60"/>
      <c r="Z28" s="60">
        <f>IFERROR((s_TR)/(up_isospec!B25*s_EFw*s_EDw*s_ETw*(1/24)*s_IRAw)/s_Aeq_Feq!C25,0)</f>
        <v>0</v>
      </c>
      <c r="AA28" s="60">
        <f>IFERROR((s_TR)/(up_isospec!C25*s_EFw*(1/365)*s_EDw*s_ETw*(1/24)*s_GSFa)/s_Aeq_Feq!C25,0)</f>
        <v>0</v>
      </c>
      <c r="AB28" s="60">
        <f t="shared" si="22"/>
        <v>0</v>
      </c>
    </row>
    <row r="29" spans="1:37" x14ac:dyDescent="0.25">
      <c r="A29" s="23" t="s">
        <v>112</v>
      </c>
      <c r="B29" s="60">
        <f t="shared" si="17"/>
        <v>1.0787644932425289E-3</v>
      </c>
      <c r="C29" s="60">
        <f t="shared" si="18"/>
        <v>1.0787644932425288E-6</v>
      </c>
      <c r="D29" s="60">
        <f>(C29/1000)*s_Aeq_Feq!E26</f>
        <v>0</v>
      </c>
      <c r="E29" s="60"/>
      <c r="F29" s="60"/>
      <c r="G29" s="60"/>
      <c r="H29" s="60">
        <f>IFERROR((s_TR)/(up_isospec!B26*s_IFAres_adj)/s_Aeq_Feq!B26,0)</f>
        <v>1.0794400404790017E-3</v>
      </c>
      <c r="I29" s="60">
        <f>IFERROR((s_TR)/(up_isospec!C26*s_EFres*(1/365)*s_EDres*s_ETres*(1/24)*s_GSFa)/s_Aeq_Feq!B26,0)</f>
        <v>1.7237308146399055</v>
      </c>
      <c r="J29" s="60">
        <f t="shared" si="19"/>
        <v>1.0787644932425289E-3</v>
      </c>
      <c r="T29" s="60">
        <f t="shared" si="20"/>
        <v>3.1477918455805433E-4</v>
      </c>
      <c r="U29" s="60">
        <f t="shared" si="21"/>
        <v>3.1477918455805434E-7</v>
      </c>
      <c r="V29" s="60">
        <f>(U29/1000)*s_Aeq_Feq!G26</f>
        <v>0</v>
      </c>
      <c r="W29" s="60"/>
      <c r="X29" s="60"/>
      <c r="Y29" s="60"/>
      <c r="Z29" s="60">
        <f>IFERROR((s_TR)/(up_isospec!B26*s_EFw*s_EDw*s_ETw*(1/24)*s_IRAw)/s_Aeq_Feq!C26,0)</f>
        <v>3.148366784730421E-4</v>
      </c>
      <c r="AA29" s="60">
        <f>IFERROR((s_TR)/(up_isospec!C26*s_EFw*(1/365)*s_EDw*s_ETw*(1/24)*s_GSFa)/s_Aeq_Feq!C26,0)</f>
        <v>1.7237308146399055</v>
      </c>
      <c r="AB29" s="60">
        <f t="shared" si="22"/>
        <v>3.1477918455805433E-4</v>
      </c>
    </row>
    <row r="30" spans="1:37" ht="19.5" thickBot="1" x14ac:dyDescent="0.35">
      <c r="A30" s="57"/>
      <c r="B30" s="116" t="s">
        <v>133</v>
      </c>
      <c r="C30" s="116"/>
      <c r="D30" s="116"/>
      <c r="E30" s="116"/>
      <c r="F30" s="116"/>
      <c r="G30" s="116"/>
      <c r="H30" s="116" t="s">
        <v>133</v>
      </c>
      <c r="I30" s="116"/>
      <c r="J30" s="116"/>
      <c r="K30" s="116"/>
      <c r="L30" s="116"/>
      <c r="M30" s="116"/>
      <c r="N30" s="116" t="s">
        <v>133</v>
      </c>
      <c r="O30" s="116"/>
      <c r="P30" s="116"/>
      <c r="Q30" s="116"/>
      <c r="R30" s="116"/>
      <c r="S30" s="116"/>
      <c r="T30" s="117" t="s">
        <v>134</v>
      </c>
      <c r="U30" s="117"/>
      <c r="V30" s="117"/>
      <c r="W30" s="117"/>
      <c r="X30" s="117"/>
      <c r="Y30" s="117"/>
      <c r="Z30" s="117" t="s">
        <v>134</v>
      </c>
      <c r="AA30" s="117"/>
      <c r="AB30" s="117"/>
      <c r="AC30" s="117"/>
      <c r="AD30" s="117"/>
      <c r="AE30" s="117"/>
      <c r="AF30" s="117" t="s">
        <v>134</v>
      </c>
      <c r="AG30" s="117"/>
      <c r="AH30" s="117"/>
      <c r="AI30" s="117"/>
      <c r="AJ30" s="117"/>
      <c r="AK30" s="117"/>
    </row>
    <row r="31" spans="1:37" ht="16.5" customHeight="1" x14ac:dyDescent="0.25">
      <c r="A31" s="62" t="s">
        <v>81</v>
      </c>
      <c r="B31" s="118" t="s">
        <v>178</v>
      </c>
      <c r="C31" s="112" t="s">
        <v>127</v>
      </c>
      <c r="D31" s="113"/>
      <c r="E31" s="112" t="s">
        <v>124</v>
      </c>
      <c r="F31" s="114"/>
      <c r="G31" s="115"/>
      <c r="H31" s="120" t="s">
        <v>151</v>
      </c>
      <c r="I31" s="112" t="s">
        <v>129</v>
      </c>
      <c r="J31" s="113"/>
      <c r="K31" s="112" t="s">
        <v>130</v>
      </c>
      <c r="L31" s="114"/>
      <c r="M31" s="115"/>
      <c r="N31" s="120" t="s">
        <v>152</v>
      </c>
      <c r="O31" s="112" t="s">
        <v>131</v>
      </c>
      <c r="P31" s="113"/>
      <c r="Q31" s="112" t="s">
        <v>132</v>
      </c>
      <c r="R31" s="114"/>
      <c r="S31" s="115"/>
      <c r="T31" s="118" t="s">
        <v>178</v>
      </c>
      <c r="U31" s="112" t="s">
        <v>127</v>
      </c>
      <c r="V31" s="113"/>
      <c r="W31" s="112" t="s">
        <v>124</v>
      </c>
      <c r="X31" s="114"/>
      <c r="Y31" s="115"/>
      <c r="Z31" s="110" t="s">
        <v>126</v>
      </c>
      <c r="AA31" s="112" t="s">
        <v>129</v>
      </c>
      <c r="AB31" s="113"/>
      <c r="AC31" s="112" t="s">
        <v>130</v>
      </c>
      <c r="AD31" s="114"/>
      <c r="AE31" s="115"/>
      <c r="AF31" s="110" t="s">
        <v>128</v>
      </c>
      <c r="AG31" s="112" t="s">
        <v>131</v>
      </c>
      <c r="AH31" s="113"/>
      <c r="AI31" s="112" t="s">
        <v>132</v>
      </c>
      <c r="AJ31" s="114"/>
      <c r="AK31" s="115"/>
    </row>
    <row r="32" spans="1:37" ht="16.5" customHeight="1" x14ac:dyDescent="0.25">
      <c r="A32" s="57" t="s">
        <v>187</v>
      </c>
      <c r="B32" s="119"/>
      <c r="C32" s="63" t="s">
        <v>120</v>
      </c>
      <c r="D32" s="64" t="s">
        <v>121</v>
      </c>
      <c r="E32" s="63" t="s">
        <v>118</v>
      </c>
      <c r="F32" s="65" t="s">
        <v>119</v>
      </c>
      <c r="G32" s="66" t="s">
        <v>122</v>
      </c>
      <c r="H32" s="121"/>
      <c r="I32" s="63" t="s">
        <v>120</v>
      </c>
      <c r="J32" s="64" t="s">
        <v>121</v>
      </c>
      <c r="K32" s="63" t="s">
        <v>118</v>
      </c>
      <c r="L32" s="65" t="s">
        <v>119</v>
      </c>
      <c r="M32" s="66" t="s">
        <v>122</v>
      </c>
      <c r="N32" s="121"/>
      <c r="O32" s="63" t="s">
        <v>120</v>
      </c>
      <c r="P32" s="64" t="s">
        <v>121</v>
      </c>
      <c r="Q32" s="63" t="s">
        <v>118</v>
      </c>
      <c r="R32" s="65" t="s">
        <v>119</v>
      </c>
      <c r="S32" s="66" t="s">
        <v>122</v>
      </c>
      <c r="T32" s="119"/>
      <c r="U32" s="63" t="s">
        <v>120</v>
      </c>
      <c r="V32" s="64" t="s">
        <v>121</v>
      </c>
      <c r="W32" s="63" t="s">
        <v>118</v>
      </c>
      <c r="X32" s="65" t="s">
        <v>119</v>
      </c>
      <c r="Y32" s="66" t="s">
        <v>122</v>
      </c>
      <c r="Z32" s="111"/>
      <c r="AA32" s="63" t="s">
        <v>120</v>
      </c>
      <c r="AB32" s="64" t="s">
        <v>121</v>
      </c>
      <c r="AC32" s="63" t="s">
        <v>118</v>
      </c>
      <c r="AD32" s="65" t="s">
        <v>119</v>
      </c>
      <c r="AE32" s="66" t="s">
        <v>122</v>
      </c>
      <c r="AF32" s="111"/>
      <c r="AG32" s="63" t="s">
        <v>120</v>
      </c>
      <c r="AH32" s="64" t="s">
        <v>121</v>
      </c>
      <c r="AI32" s="63" t="s">
        <v>118</v>
      </c>
      <c r="AJ32" s="65" t="s">
        <v>119</v>
      </c>
      <c r="AK32" s="66" t="s">
        <v>122</v>
      </c>
    </row>
    <row r="33" spans="1:37" x14ac:dyDescent="0.25">
      <c r="A33" s="57" t="str">
        <f>up_isospec!A2</f>
        <v>Rn-219</v>
      </c>
      <c r="B33" s="102" t="s">
        <v>169</v>
      </c>
      <c r="C33" s="103" t="s">
        <v>179</v>
      </c>
      <c r="D33" s="104">
        <f>Cia_219*(s_Aeq_Feq!$E$2)</f>
        <v>4.5950874382716051E-3</v>
      </c>
      <c r="E33" s="67">
        <f>IF(SUM(E34:E39)&lt;0.01,SUM(E34:E39),1-EXP(-SUM(E34:E39)))</f>
        <v>1</v>
      </c>
      <c r="F33" s="67">
        <f t="shared" ref="F33:G33" si="23">IF(SUM(F34:F39)&lt;0.01,SUM(F34:F39),1-EXP(-SUM(F34:F39)))</f>
        <v>1</v>
      </c>
      <c r="G33" s="67">
        <f t="shared" si="23"/>
        <v>1</v>
      </c>
      <c r="H33" s="102" t="s">
        <v>169</v>
      </c>
      <c r="I33" s="103" t="s">
        <v>179</v>
      </c>
      <c r="J33" s="104">
        <f>(H34/1000)*(s_Aeq_Feq!$E$2)</f>
        <v>1.9431824377006658E-3</v>
      </c>
      <c r="K33" s="67">
        <f>IF(SUM(K34:K39)&lt;0.01,SUM(K34:K39),1-EXP(-SUM(K34:K39)))</f>
        <v>1</v>
      </c>
      <c r="L33" s="67">
        <f t="shared" ref="L33:M33" si="24">IF(SUM(L34:L39)&lt;0.01,SUM(L34:L39),1-EXP(-SUM(L34:L39)))</f>
        <v>1</v>
      </c>
      <c r="M33" s="67">
        <f t="shared" si="24"/>
        <v>1</v>
      </c>
      <c r="N33" s="102" t="s">
        <v>169</v>
      </c>
      <c r="O33" s="103" t="s">
        <v>179</v>
      </c>
      <c r="P33" s="104">
        <f>(N34/1000)*(s_Aeq_Feq!$E$2)</f>
        <v>2.2975437191358025E-7</v>
      </c>
      <c r="Q33" s="67">
        <f>IF(SUM(Q34:Q39)&lt;0.01,SUM(Q34:Q39),1-EXP(-SUM(Q34:Q39)))</f>
        <v>1</v>
      </c>
      <c r="R33" s="67">
        <f t="shared" ref="R33:S33" si="25">IF(SUM(R34:R39)&lt;0.01,SUM(R34:R39),1-EXP(-SUM(R34:R39)))</f>
        <v>0.97785125216119739</v>
      </c>
      <c r="S33" s="67">
        <f t="shared" si="25"/>
        <v>1</v>
      </c>
      <c r="T33" s="102" t="s">
        <v>169</v>
      </c>
      <c r="U33" s="103" t="s">
        <v>179</v>
      </c>
      <c r="V33" s="104">
        <f>Cia_219*(s_Aeq_Feq!$G$2)</f>
        <v>4.5950874382716051E-3</v>
      </c>
      <c r="W33" s="67">
        <f>IF(SUM(W34:W39)&lt;0.01,SUM(W34:W39),1-EXP(-SUM(W34:W39)))</f>
        <v>1</v>
      </c>
      <c r="X33" s="67">
        <f t="shared" ref="X33:Y33" si="26">IF(SUM(X34:X39)&lt;0.01,SUM(X34:X39),1-EXP(-SUM(X34:X39)))</f>
        <v>1</v>
      </c>
      <c r="Y33" s="67">
        <f t="shared" si="26"/>
        <v>1</v>
      </c>
      <c r="Z33" s="102" t="s">
        <v>169</v>
      </c>
      <c r="AA33" s="103" t="s">
        <v>179</v>
      </c>
      <c r="AB33" s="104">
        <f>(Z34/1000)*(s_Aeq_Feq!$G$2)</f>
        <v>1.9431824377006658E-3</v>
      </c>
      <c r="AC33" s="67">
        <f>IF(SUM(AC34:AC39)&lt;0.01,SUM(AC34:AC39),1-EXP(-SUM(AC34:AC39)))</f>
        <v>1</v>
      </c>
      <c r="AD33" s="67">
        <f t="shared" ref="AD33:AE33" si="27">IF(SUM(AD34:AD39)&lt;0.01,SUM(AD34:AD39),1-EXP(-SUM(AD34:AD39)))</f>
        <v>1</v>
      </c>
      <c r="AE33" s="67">
        <f t="shared" si="27"/>
        <v>1</v>
      </c>
      <c r="AF33" s="102" t="s">
        <v>169</v>
      </c>
      <c r="AG33" s="103" t="s">
        <v>179</v>
      </c>
      <c r="AH33" s="104">
        <f>(AF34/1000)*(s_Aeq_Feq!$G$2)</f>
        <v>2.2975437191358025E-7</v>
      </c>
      <c r="AI33" s="67">
        <f>IF(SUM(AI34:AI39)&lt;0.01,SUM(AI34:AI39),1-EXP(-SUM(AI34:AI39)))</f>
        <v>1</v>
      </c>
      <c r="AJ33" s="67">
        <f t="shared" ref="AJ33:AK33" si="28">IF(SUM(AJ34:AJ39)&lt;0.01,SUM(AJ34:AJ39),1-EXP(-SUM(AJ34:AJ39)))</f>
        <v>0.97785125216119739</v>
      </c>
      <c r="AK33" s="67">
        <f t="shared" si="28"/>
        <v>1</v>
      </c>
    </row>
    <row r="34" spans="1:37" x14ac:dyDescent="0.25">
      <c r="A34" s="57" t="str">
        <f>up_isospec!A2</f>
        <v>Rn-219</v>
      </c>
      <c r="B34" s="75">
        <f>Cia_219*1000</f>
        <v>5000</v>
      </c>
      <c r="C34" s="71">
        <f t="shared" ref="C34:C39" si="29">IFERROR(B34*s_IFAres_adj,".")</f>
        <v>10026041.666666666</v>
      </c>
      <c r="D34" s="72">
        <f t="shared" ref="D34:D39" si="30">IFERROR(B34*s_EFres*(1/365)*s_EDres*s_ETres*(1/24)*s_GSFa,".")</f>
        <v>6278.5388127853876</v>
      </c>
      <c r="E34" s="71">
        <f>C34*up_isospec!$B2</f>
        <v>50130208.333333328</v>
      </c>
      <c r="F34" s="73">
        <f>D34*up_isospec!$C2</f>
        <v>31392.694063926938</v>
      </c>
      <c r="G34" s="74">
        <f>SUM(E34:F34)</f>
        <v>50161601.027397253</v>
      </c>
      <c r="H34" s="70">
        <f>IFERROR(Cia_219*(s_AFgw*1000*up_isospec!$M2),".")</f>
        <v>2114.4129070496797</v>
      </c>
      <c r="I34" s="71">
        <f t="shared" ref="I34:I39" si="31">IFERROR(H34*s_IFAres_adj,".")</f>
        <v>4239838.381323576</v>
      </c>
      <c r="J34" s="72">
        <f t="shared" ref="J34:J39" si="32">IFERROR(H34*s_EFres*(1/365)*s_EDres*s_ETres*(1/24)*s_GSFa,".")</f>
        <v>2655.0847006331592</v>
      </c>
      <c r="K34" s="71">
        <f>IFERROR(I34*up_isospec!$B2,".")</f>
        <v>21199191.90661788</v>
      </c>
      <c r="L34" s="73">
        <f>IFERROR(J34*up_isospec!$C2,".")</f>
        <v>13275.423503165795</v>
      </c>
      <c r="M34" s="74">
        <f>SUM(K34:L34)</f>
        <v>21212467.330121044</v>
      </c>
      <c r="N34" s="70">
        <f>Cia_219*s_AFss</f>
        <v>0.25</v>
      </c>
      <c r="O34" s="71">
        <f t="shared" ref="O34:O39" si="33">IFERROR(N34*s_IFAres_adj,".")</f>
        <v>501.30208333333331</v>
      </c>
      <c r="P34" s="72">
        <f t="shared" ref="P34:P39" si="34">IFERROR(N34*s_EFres*(1/365)*s_EDres*s_ETres*(1/24)*s_GSFa,".")</f>
        <v>0.31392694063926935</v>
      </c>
      <c r="Q34" s="71">
        <f>O34*up_isospec!$B2</f>
        <v>2506.5104166666665</v>
      </c>
      <c r="R34" s="73">
        <f>P34*up_isospec!$C2</f>
        <v>1.5696347031963467</v>
      </c>
      <c r="S34" s="74">
        <f>SUM(Q34:R34)</f>
        <v>2508.0800513698628</v>
      </c>
      <c r="T34" s="75">
        <f>Cia_219*1000</f>
        <v>5000</v>
      </c>
      <c r="U34" s="71">
        <f>IFERROR(T34*s_EFw*s_EDw*s_ETw*(1/24)*s_IRAw,".")</f>
        <v>34375000</v>
      </c>
      <c r="V34" s="72">
        <f>IFERROR(T34*s_EFw*(1/365)*s_EDw*s_ETw*(1/24)*s_GSFa,".")</f>
        <v>6278.5388127853876</v>
      </c>
      <c r="W34" s="71">
        <f>U34*up_isospec!$B2</f>
        <v>171875000</v>
      </c>
      <c r="X34" s="73">
        <f>V34*up_isospec!$C2</f>
        <v>31392.694063926938</v>
      </c>
      <c r="Y34" s="74">
        <f>SUM(W34:X34)</f>
        <v>171906392.69406393</v>
      </c>
      <c r="Z34" s="70">
        <f>IFERROR(Cia_219*(s_AFgw*1000*up_isospec!$M2),".")</f>
        <v>2114.4129070496797</v>
      </c>
      <c r="AA34" s="71">
        <f>IFERROR(Z34*s_EFw*s_EDw*s_ETw*(1/24)*s_IRAw,".")</f>
        <v>14536588.735966548</v>
      </c>
      <c r="AB34" s="72">
        <f>IFERROR(Z34*s_EFw*(1/365)*s_EDw*s_ETw*(1/24)*s_GSFa,".")</f>
        <v>2655.0847006331592</v>
      </c>
      <c r="AC34" s="71">
        <f>IFERROR(AA34*up_isospec!$B2,".")</f>
        <v>72682943.679832742</v>
      </c>
      <c r="AD34" s="73">
        <f>IFERROR(AB34*up_isospec!$C2,".")</f>
        <v>13275.423503165795</v>
      </c>
      <c r="AE34" s="74">
        <f>SUM(AC34:AD34)</f>
        <v>72696219.103335902</v>
      </c>
      <c r="AF34" s="70">
        <f>Cia_219*s_AFss</f>
        <v>0.25</v>
      </c>
      <c r="AG34" s="71">
        <f>IFERROR(AF34*s_EFw*s_EDw*s_ETw*(1/24)*s_IRAw,".")</f>
        <v>1718.75</v>
      </c>
      <c r="AH34" s="72">
        <f>IFERROR(AF34*s_EFw*(1/365)*s_EDw*s_ETw*(1/24)*s_GSFa,".")</f>
        <v>0.31392694063926935</v>
      </c>
      <c r="AI34" s="71">
        <f>AG34*up_isospec!$B2</f>
        <v>8593.75</v>
      </c>
      <c r="AJ34" s="73">
        <f>AH34*up_isospec!$C2</f>
        <v>1.5696347031963467</v>
      </c>
      <c r="AK34" s="74">
        <f>SUM(AI34:AJ34)</f>
        <v>8595.3196347031972</v>
      </c>
    </row>
    <row r="35" spans="1:37" x14ac:dyDescent="0.25">
      <c r="A35" s="57" t="str">
        <f>up_isospec!A3</f>
        <v>Rn-219~Bi-211</v>
      </c>
      <c r="B35" s="70">
        <f>B$34*s_Aeq_Feq!$B3</f>
        <v>743.99999999999989</v>
      </c>
      <c r="C35" s="71">
        <f t="shared" si="29"/>
        <v>1491874.9999999998</v>
      </c>
      <c r="D35" s="72">
        <f t="shared" si="30"/>
        <v>934.24657534246546</v>
      </c>
      <c r="E35" s="71">
        <f>C35*up_isospec!$B3</f>
        <v>7459374.9999999991</v>
      </c>
      <c r="F35" s="73">
        <f>D35*up_isospec!$C3</f>
        <v>4671.2328767123272</v>
      </c>
      <c r="G35" s="74">
        <f t="shared" ref="G35:G39" si="35">SUM(E35:F35)</f>
        <v>7464046.2328767115</v>
      </c>
      <c r="H35" s="70">
        <f>H$34*s_Aeq_Feq!$B3</f>
        <v>314.62464056899233</v>
      </c>
      <c r="I35" s="71">
        <f t="shared" si="31"/>
        <v>630887.95114094811</v>
      </c>
      <c r="J35" s="72">
        <f t="shared" si="32"/>
        <v>395.07660345421414</v>
      </c>
      <c r="K35" s="71">
        <f>IFERROR(I35*up_isospec!$B3,".")</f>
        <v>3154439.7557047405</v>
      </c>
      <c r="L35" s="73">
        <f>IFERROR(J35*up_isospec!$C3,".")</f>
        <v>1975.3830172710707</v>
      </c>
      <c r="M35" s="74">
        <f t="shared" ref="M35:M39" si="36">SUM(K35:L35)</f>
        <v>3156415.1387220118</v>
      </c>
      <c r="N35" s="70">
        <f>N$34*s_Aeq_Feq!$B3</f>
        <v>3.7199999999999997E-2</v>
      </c>
      <c r="O35" s="71">
        <f t="shared" si="33"/>
        <v>74.593749999999986</v>
      </c>
      <c r="P35" s="72">
        <f t="shared" si="34"/>
        <v>4.6712328767123279E-2</v>
      </c>
      <c r="Q35" s="71">
        <f>O35*up_isospec!$B3</f>
        <v>372.96874999999994</v>
      </c>
      <c r="R35" s="73">
        <f>P35*up_isospec!$C3</f>
        <v>0.23356164383561639</v>
      </c>
      <c r="S35" s="74">
        <f t="shared" ref="S35:S39" si="37">SUM(Q35:R35)</f>
        <v>373.20231164383557</v>
      </c>
      <c r="T35" s="70">
        <f>T$34*s_Aeq_Feq!$C3</f>
        <v>743.99999999999989</v>
      </c>
      <c r="U35" s="71">
        <f>IFERROR(T35*s_EFw*s_EDw*s_ETw*(1/24)*s_IRAw,".")</f>
        <v>5114999.9999999991</v>
      </c>
      <c r="V35" s="72">
        <f>IFERROR(T35*s_EFw*(1/365)*s_EDw*s_ETw*(1/24)*s_GSFa,".")</f>
        <v>934.24657534246546</v>
      </c>
      <c r="W35" s="71">
        <f>U35*up_isospec!$B3</f>
        <v>25574999.999999996</v>
      </c>
      <c r="X35" s="73">
        <f>V35*up_isospec!$C3</f>
        <v>4671.2328767123272</v>
      </c>
      <c r="Y35" s="74">
        <f t="shared" ref="Y35:Y39" si="38">SUM(W35:X35)</f>
        <v>25579671.232876707</v>
      </c>
      <c r="Z35" s="70">
        <f>Z$34*s_Aeq_Feq!$C3</f>
        <v>314.62464056899233</v>
      </c>
      <c r="AA35" s="71">
        <f>IFERROR(Z35*s_EFw*s_EDw*s_ETw*(1/24)*s_IRAw,".")</f>
        <v>2163044.4039118225</v>
      </c>
      <c r="AB35" s="72">
        <f>IFERROR(Z35*s_EFw*(1/365)*s_EDw*s_ETw*(1/24)*s_GSFa,".")</f>
        <v>395.07660345421414</v>
      </c>
      <c r="AC35" s="71">
        <f>IFERROR(AA35*up_isospec!$B3,".")</f>
        <v>10815222.019559111</v>
      </c>
      <c r="AD35" s="73">
        <f>IFERROR(AB35*up_isospec!$C3,".")</f>
        <v>1975.3830172710707</v>
      </c>
      <c r="AE35" s="74">
        <f t="shared" ref="AE35:AE39" si="39">SUM(AC35:AD35)</f>
        <v>10817197.402576383</v>
      </c>
      <c r="AF35" s="70">
        <f>AF$34*s_Aeq_Feq!$C3</f>
        <v>3.7199999999999997E-2</v>
      </c>
      <c r="AG35" s="71">
        <f>IFERROR(AF35*s_EFw*s_EDw*s_ETw*(1/24)*s_IRAw,".")</f>
        <v>255.74999999999994</v>
      </c>
      <c r="AH35" s="72">
        <f>IFERROR(AF35*s_EFw*(1/365)*s_EDw*s_ETw*(1/24)*s_GSFa,".")</f>
        <v>4.6712328767123279E-2</v>
      </c>
      <c r="AI35" s="71">
        <f>AG35*up_isospec!$B3</f>
        <v>1278.7499999999998</v>
      </c>
      <c r="AJ35" s="73">
        <f>AH35*up_isospec!$C3</f>
        <v>0.23356164383561639</v>
      </c>
      <c r="AK35" s="74">
        <f t="shared" ref="AK35:AK39" si="40">SUM(AI35:AJ35)</f>
        <v>1278.9835616438354</v>
      </c>
    </row>
    <row r="36" spans="1:37" x14ac:dyDescent="0.25">
      <c r="A36" s="57" t="str">
        <f>up_isospec!A4</f>
        <v>Rn-219~Pb-211</v>
      </c>
      <c r="B36" s="70">
        <f>B$34*s_Aeq_Feq!$B4</f>
        <v>935.49999999999989</v>
      </c>
      <c r="C36" s="71">
        <f t="shared" si="29"/>
        <v>1875872.395833333</v>
      </c>
      <c r="D36" s="72">
        <f t="shared" si="30"/>
        <v>1174.714611872146</v>
      </c>
      <c r="E36" s="71">
        <f>C36*up_isospec!$B4</f>
        <v>9379361.9791666642</v>
      </c>
      <c r="F36" s="73">
        <f>D36*up_isospec!$C4</f>
        <v>5873.5730593607295</v>
      </c>
      <c r="G36" s="74">
        <f t="shared" si="35"/>
        <v>9385235.5522260256</v>
      </c>
      <c r="H36" s="70">
        <f>H$34*s_Aeq_Feq!$B4</f>
        <v>395.60665490899504</v>
      </c>
      <c r="I36" s="71">
        <f t="shared" si="31"/>
        <v>793273.7611456411</v>
      </c>
      <c r="J36" s="72">
        <f t="shared" si="32"/>
        <v>496.76634748846402</v>
      </c>
      <c r="K36" s="71">
        <f>IFERROR(I36*up_isospec!$B4,".")</f>
        <v>3966368.8057282055</v>
      </c>
      <c r="L36" s="73">
        <f>IFERROR(J36*up_isospec!$C4,".")</f>
        <v>2483.83173744232</v>
      </c>
      <c r="M36" s="74">
        <f t="shared" si="36"/>
        <v>3968852.6374656479</v>
      </c>
      <c r="N36" s="70">
        <f>N$34*s_Aeq_Feq!$B4</f>
        <v>4.6774999999999997E-2</v>
      </c>
      <c r="O36" s="71">
        <f t="shared" si="33"/>
        <v>93.793619791666657</v>
      </c>
      <c r="P36" s="72">
        <f t="shared" si="34"/>
        <v>5.8735730593607302E-2</v>
      </c>
      <c r="Q36" s="71">
        <f>O36*up_isospec!$B4</f>
        <v>468.96809895833326</v>
      </c>
      <c r="R36" s="73">
        <f>P36*up_isospec!$C4</f>
        <v>0.29367865296803652</v>
      </c>
      <c r="S36" s="74">
        <f t="shared" si="37"/>
        <v>469.26177761130128</v>
      </c>
      <c r="T36" s="70">
        <f>T$34*s_Aeq_Feq!$C4</f>
        <v>935.49999999999989</v>
      </c>
      <c r="U36" s="71">
        <f>IFERROR(T36*s_EFw*s_EDw*s_ETw*(1/24)*s_IRAw,".")</f>
        <v>6431562.4999999991</v>
      </c>
      <c r="V36" s="72">
        <f>IFERROR(T36*s_EFw*(1/365)*s_EDw*s_ETw*(1/24)*s_GSFa,".")</f>
        <v>1174.714611872146</v>
      </c>
      <c r="W36" s="71">
        <f>U36*up_isospec!$B4</f>
        <v>32157812.499999996</v>
      </c>
      <c r="X36" s="73">
        <f>V36*up_isospec!$C4</f>
        <v>5873.5730593607295</v>
      </c>
      <c r="Y36" s="74">
        <f t="shared" si="38"/>
        <v>32163686.073059358</v>
      </c>
      <c r="Z36" s="70">
        <f>Z$34*s_Aeq_Feq!$C4</f>
        <v>395.60665490899504</v>
      </c>
      <c r="AA36" s="71">
        <f>IFERROR(Z36*s_EFw*s_EDw*s_ETw*(1/24)*s_IRAw,".")</f>
        <v>2719795.7524993406</v>
      </c>
      <c r="AB36" s="72">
        <f>IFERROR(Z36*s_EFw*(1/365)*s_EDw*s_ETw*(1/24)*s_GSFa,".")</f>
        <v>496.76634748846402</v>
      </c>
      <c r="AC36" s="71">
        <f>IFERROR(AA36*up_isospec!$B4,".")</f>
        <v>13598978.762496702</v>
      </c>
      <c r="AD36" s="73">
        <f>IFERROR(AB36*up_isospec!$C4,".")</f>
        <v>2483.83173744232</v>
      </c>
      <c r="AE36" s="74">
        <f t="shared" si="39"/>
        <v>13601462.594234144</v>
      </c>
      <c r="AF36" s="70">
        <f>AF$34*s_Aeq_Feq!$C4</f>
        <v>4.6774999999999997E-2</v>
      </c>
      <c r="AG36" s="71">
        <f>IFERROR(AF36*s_EFw*s_EDw*s_ETw*(1/24)*s_IRAw,".")</f>
        <v>321.578125</v>
      </c>
      <c r="AH36" s="72">
        <f>IFERROR(AF36*s_EFw*(1/365)*s_EDw*s_ETw*(1/24)*s_GSFa,".")</f>
        <v>5.8735730593607302E-2</v>
      </c>
      <c r="AI36" s="71">
        <f>AG36*up_isospec!$B4</f>
        <v>1607.890625</v>
      </c>
      <c r="AJ36" s="73">
        <f>AH36*up_isospec!$C4</f>
        <v>0.29367865296803652</v>
      </c>
      <c r="AK36" s="74">
        <f t="shared" si="40"/>
        <v>1608.1843036529681</v>
      </c>
    </row>
    <row r="37" spans="1:37" x14ac:dyDescent="0.25">
      <c r="A37" s="57" t="str">
        <f>up_isospec!A5</f>
        <v>Rn-219~Po-211</v>
      </c>
      <c r="B37" s="70">
        <f>B$34*s_Aeq_Feq!$B5</f>
        <v>2</v>
      </c>
      <c r="C37" s="71">
        <f t="shared" si="29"/>
        <v>4010.4166666666665</v>
      </c>
      <c r="D37" s="72">
        <f t="shared" si="30"/>
        <v>2.5114155251141548</v>
      </c>
      <c r="E37" s="71">
        <f>C37*up_isospec!$B5</f>
        <v>20052.083333333332</v>
      </c>
      <c r="F37" s="73">
        <f>D37*up_isospec!$C5</f>
        <v>12.557077625570773</v>
      </c>
      <c r="G37" s="74">
        <f t="shared" si="35"/>
        <v>20064.640410958902</v>
      </c>
      <c r="H37" s="70">
        <f>H$34*s_Aeq_Feq!$B5</f>
        <v>0.84576516281987191</v>
      </c>
      <c r="I37" s="71">
        <f t="shared" si="31"/>
        <v>1695.9353525294305</v>
      </c>
      <c r="J37" s="72">
        <f t="shared" si="32"/>
        <v>1.0620338802532636</v>
      </c>
      <c r="K37" s="71">
        <f>IFERROR(I37*up_isospec!$B5,".")</f>
        <v>8479.6767626471519</v>
      </c>
      <c r="L37" s="73">
        <f>IFERROR(J37*up_isospec!$C5,".")</f>
        <v>5.3101694012663181</v>
      </c>
      <c r="M37" s="74">
        <f t="shared" si="36"/>
        <v>8484.9869320484177</v>
      </c>
      <c r="N37" s="70">
        <f>N$34*s_Aeq_Feq!$B5</f>
        <v>1E-4</v>
      </c>
      <c r="O37" s="71">
        <f t="shared" si="33"/>
        <v>0.20052083333333334</v>
      </c>
      <c r="P37" s="72">
        <f t="shared" si="34"/>
        <v>1.2557077625570775E-4</v>
      </c>
      <c r="Q37" s="71">
        <f>O37*up_isospec!$B5</f>
        <v>1.0026041666666667</v>
      </c>
      <c r="R37" s="73">
        <f>P37*up_isospec!$C5</f>
        <v>6.2785388127853869E-4</v>
      </c>
      <c r="S37" s="74">
        <f t="shared" si="37"/>
        <v>1.0032320205479452</v>
      </c>
      <c r="T37" s="70">
        <f>T$34*s_Aeq_Feq!$C5</f>
        <v>2</v>
      </c>
      <c r="U37" s="71">
        <f>IFERROR(T37*s_EFw*s_EDw*s_ETw*(1/24)*s_IRAw,".")</f>
        <v>13750</v>
      </c>
      <c r="V37" s="72">
        <f>IFERROR(T37*s_EFw*(1/365)*s_EDw*s_ETw*(1/24)*s_GSFa,".")</f>
        <v>2.5114155251141548</v>
      </c>
      <c r="W37" s="71">
        <f>U37*up_isospec!$B5</f>
        <v>68750</v>
      </c>
      <c r="X37" s="73">
        <f>V37*up_isospec!$C5</f>
        <v>12.557077625570773</v>
      </c>
      <c r="Y37" s="74">
        <f t="shared" si="38"/>
        <v>68762.557077625577</v>
      </c>
      <c r="Z37" s="70">
        <f>Z$34*s_Aeq_Feq!$C5</f>
        <v>0.84576516281987191</v>
      </c>
      <c r="AA37" s="71">
        <f>IFERROR(Z37*s_EFw*s_EDw*s_ETw*(1/24)*s_IRAw,".")</f>
        <v>5814.635494386619</v>
      </c>
      <c r="AB37" s="72">
        <f>IFERROR(Z37*s_EFw*(1/365)*s_EDw*s_ETw*(1/24)*s_GSFa,".")</f>
        <v>1.0620338802532636</v>
      </c>
      <c r="AC37" s="71">
        <f>IFERROR(AA37*up_isospec!$B5,".")</f>
        <v>29073.177471933093</v>
      </c>
      <c r="AD37" s="73">
        <f>IFERROR(AB37*up_isospec!$C5,".")</f>
        <v>5.3101694012663181</v>
      </c>
      <c r="AE37" s="74">
        <f t="shared" si="39"/>
        <v>29078.487641334359</v>
      </c>
      <c r="AF37" s="70">
        <f>AF$34*s_Aeq_Feq!$C5</f>
        <v>1E-4</v>
      </c>
      <c r="AG37" s="71">
        <f>IFERROR(AF37*s_EFw*s_EDw*s_ETw*(1/24)*s_IRAw,".")</f>
        <v>0.6875</v>
      </c>
      <c r="AH37" s="72">
        <f>IFERROR(AF37*s_EFw*(1/365)*s_EDw*s_ETw*(1/24)*s_GSFa,".")</f>
        <v>1.2557077625570775E-4</v>
      </c>
      <c r="AI37" s="71">
        <f>AG37*up_isospec!$B5</f>
        <v>3.4375</v>
      </c>
      <c r="AJ37" s="73">
        <f>AH37*up_isospec!$C5</f>
        <v>6.2785388127853869E-4</v>
      </c>
      <c r="AK37" s="74">
        <f t="shared" si="40"/>
        <v>3.4381278538812787</v>
      </c>
    </row>
    <row r="38" spans="1:37" x14ac:dyDescent="0.25">
      <c r="A38" s="57" t="str">
        <f>up_isospec!A6</f>
        <v>Rn-219~Po-215</v>
      </c>
      <c r="B38" s="70">
        <f>B$34*s_Aeq_Feq!$B6</f>
        <v>4983.5</v>
      </c>
      <c r="C38" s="71">
        <f t="shared" si="29"/>
        <v>9992955.729166666</v>
      </c>
      <c r="D38" s="72">
        <f t="shared" si="30"/>
        <v>6257.8196347031962</v>
      </c>
      <c r="E38" s="71">
        <f>C38*up_isospec!$B6</f>
        <v>49964778.645833328</v>
      </c>
      <c r="F38" s="73">
        <f>D38*up_isospec!$C6</f>
        <v>31289.09817351598</v>
      </c>
      <c r="G38" s="74">
        <f t="shared" si="35"/>
        <v>49996067.744006842</v>
      </c>
      <c r="H38" s="70">
        <f>H$34*s_Aeq_Feq!$B6</f>
        <v>2107.4353444564158</v>
      </c>
      <c r="I38" s="71">
        <f t="shared" si="31"/>
        <v>4225846.9146652082</v>
      </c>
      <c r="J38" s="72">
        <f t="shared" si="32"/>
        <v>2646.3229211210701</v>
      </c>
      <c r="K38" s="71">
        <f>IFERROR(I38*up_isospec!$B6,".")</f>
        <v>21129234.57332604</v>
      </c>
      <c r="L38" s="73">
        <f>IFERROR(J38*up_isospec!$C6,".")</f>
        <v>13231.614605605351</v>
      </c>
      <c r="M38" s="74">
        <f t="shared" si="36"/>
        <v>21142466.187931646</v>
      </c>
      <c r="N38" s="70">
        <f>N$34*s_Aeq_Feq!$B6</f>
        <v>0.24917500000000001</v>
      </c>
      <c r="O38" s="71">
        <f t="shared" si="33"/>
        <v>499.64778645833331</v>
      </c>
      <c r="P38" s="72">
        <f t="shared" si="34"/>
        <v>0.31289098173515978</v>
      </c>
      <c r="Q38" s="71">
        <f>O38*up_isospec!$B6</f>
        <v>2498.2389322916665</v>
      </c>
      <c r="R38" s="73">
        <f>P38*up_isospec!$C6</f>
        <v>1.5644549086757988</v>
      </c>
      <c r="S38" s="74">
        <f t="shared" si="37"/>
        <v>2499.8033872003425</v>
      </c>
      <c r="T38" s="70">
        <f>T$34*s_Aeq_Feq!$C6</f>
        <v>4983.5</v>
      </c>
      <c r="U38" s="71">
        <f>IFERROR(T38*s_EFw*s_EDw*s_ETw*(1/24)*s_IRAw,".")</f>
        <v>34261562.5</v>
      </c>
      <c r="V38" s="72">
        <f>IFERROR(T38*s_EFw*(1/365)*s_EDw*s_ETw*(1/24)*s_GSFa,".")</f>
        <v>6257.8196347031962</v>
      </c>
      <c r="W38" s="71">
        <f>U38*up_isospec!$B6</f>
        <v>171307812.5</v>
      </c>
      <c r="X38" s="73">
        <f>V38*up_isospec!$C6</f>
        <v>31289.09817351598</v>
      </c>
      <c r="Y38" s="74">
        <f t="shared" si="38"/>
        <v>171339101.59817353</v>
      </c>
      <c r="Z38" s="70">
        <f>Z$34*s_Aeq_Feq!$C6</f>
        <v>2107.4353444564158</v>
      </c>
      <c r="AA38" s="71">
        <f>IFERROR(Z38*s_EFw*s_EDw*s_ETw*(1/24)*s_IRAw,".")</f>
        <v>14488617.993137859</v>
      </c>
      <c r="AB38" s="72">
        <f>IFERROR(Z38*s_EFw*(1/365)*s_EDw*s_ETw*(1/24)*s_GSFa,".")</f>
        <v>2646.3229211210701</v>
      </c>
      <c r="AC38" s="71">
        <f>IFERROR(AA38*up_isospec!$B6,".")</f>
        <v>72443089.965689301</v>
      </c>
      <c r="AD38" s="73">
        <f>IFERROR(AB38*up_isospec!$C6,".")</f>
        <v>13231.614605605351</v>
      </c>
      <c r="AE38" s="74">
        <f t="shared" si="39"/>
        <v>72456321.580294907</v>
      </c>
      <c r="AF38" s="70">
        <f>AF$34*s_Aeq_Feq!$C6</f>
        <v>0.24917500000000001</v>
      </c>
      <c r="AG38" s="71">
        <f>IFERROR(AF38*s_EFw*s_EDw*s_ETw*(1/24)*s_IRAw,".")</f>
        <v>1713.0781249999998</v>
      </c>
      <c r="AH38" s="72">
        <f>IFERROR(AF38*s_EFw*(1/365)*s_EDw*s_ETw*(1/24)*s_GSFa,".")</f>
        <v>0.31289098173515978</v>
      </c>
      <c r="AI38" s="71">
        <f>AG38*up_isospec!$B6</f>
        <v>8565.3906249999982</v>
      </c>
      <c r="AJ38" s="73">
        <f>AH38*up_isospec!$C6</f>
        <v>1.5644549086757988</v>
      </c>
      <c r="AK38" s="74">
        <f t="shared" si="40"/>
        <v>8566.9550799086737</v>
      </c>
    </row>
    <row r="39" spans="1:37" x14ac:dyDescent="0.25">
      <c r="A39" s="57" t="str">
        <f>up_isospec!A7</f>
        <v>Rn-219~Tl-207</v>
      </c>
      <c r="B39" s="70">
        <f>B$34*s_Aeq_Feq!$B7</f>
        <v>471.5</v>
      </c>
      <c r="C39" s="71">
        <f t="shared" si="29"/>
        <v>945455.72916666663</v>
      </c>
      <c r="D39" s="72">
        <f t="shared" si="30"/>
        <v>592.06621004566205</v>
      </c>
      <c r="E39" s="71">
        <f>C39*up_isospec!$B7</f>
        <v>4727278.645833333</v>
      </c>
      <c r="F39" s="73">
        <f>D39*up_isospec!$C7</f>
        <v>2960.3310502283102</v>
      </c>
      <c r="G39" s="74">
        <f t="shared" si="35"/>
        <v>4730238.9768835614</v>
      </c>
      <c r="H39" s="70">
        <f>H$34*s_Aeq_Feq!$B7</f>
        <v>199.38913713478479</v>
      </c>
      <c r="I39" s="71">
        <f t="shared" si="31"/>
        <v>399816.75935881323</v>
      </c>
      <c r="J39" s="72">
        <f t="shared" si="32"/>
        <v>250.37448726970689</v>
      </c>
      <c r="K39" s="71">
        <f>IFERROR(I39*up_isospec!$B7,".")</f>
        <v>1999083.7967940662</v>
      </c>
      <c r="L39" s="73">
        <f>IFERROR(J39*up_isospec!$C7,".")</f>
        <v>1251.8724363485344</v>
      </c>
      <c r="M39" s="74">
        <f t="shared" si="36"/>
        <v>2000335.6692304148</v>
      </c>
      <c r="N39" s="70">
        <f>N$34*s_Aeq_Feq!$B7</f>
        <v>2.3574999999999999E-2</v>
      </c>
      <c r="O39" s="71">
        <f t="shared" si="33"/>
        <v>47.272786458333329</v>
      </c>
      <c r="P39" s="72">
        <f t="shared" si="34"/>
        <v>2.9603310502283098E-2</v>
      </c>
      <c r="Q39" s="71">
        <f>O39*up_isospec!$B7</f>
        <v>236.36393229166663</v>
      </c>
      <c r="R39" s="73">
        <f>P39*up_isospec!$C7</f>
        <v>0.14801655251141549</v>
      </c>
      <c r="S39" s="74">
        <f t="shared" si="37"/>
        <v>236.51194884417805</v>
      </c>
      <c r="T39" s="70">
        <f>T$34*s_Aeq_Feq!$C7</f>
        <v>471.5</v>
      </c>
      <c r="U39" s="71">
        <f>IFERROR(T39*s_EFw*s_EDw*s_ETw*(1/24)*s_IRAw,".")</f>
        <v>3241562.5</v>
      </c>
      <c r="V39" s="72">
        <f>IFERROR(T39*s_EFw*(1/365)*s_EDw*s_ETw*(1/24)*s_GSFa,".")</f>
        <v>592.06621004566205</v>
      </c>
      <c r="W39" s="71">
        <f>U39*up_isospec!$B7</f>
        <v>16207812.5</v>
      </c>
      <c r="X39" s="73">
        <f>V39*up_isospec!$C7</f>
        <v>2960.3310502283102</v>
      </c>
      <c r="Y39" s="74">
        <f t="shared" si="38"/>
        <v>16210772.831050228</v>
      </c>
      <c r="Z39" s="70">
        <f>Z$34*s_Aeq_Feq!$C7</f>
        <v>199.38913713478479</v>
      </c>
      <c r="AA39" s="71">
        <f>IFERROR(Z39*s_EFw*s_EDw*s_ETw*(1/24)*s_IRAw,".")</f>
        <v>1370800.3178016455</v>
      </c>
      <c r="AB39" s="72">
        <f>IFERROR(Z39*s_EFw*(1/365)*s_EDw*s_ETw*(1/24)*s_GSFa,".")</f>
        <v>250.37448726970689</v>
      </c>
      <c r="AC39" s="71">
        <f>IFERROR(AA39*up_isospec!$B7,".")</f>
        <v>6854001.589008227</v>
      </c>
      <c r="AD39" s="73">
        <f>IFERROR(AB39*up_isospec!$C7,".")</f>
        <v>1251.8724363485344</v>
      </c>
      <c r="AE39" s="74">
        <f t="shared" si="39"/>
        <v>6855253.4614445753</v>
      </c>
      <c r="AF39" s="70">
        <f>AF$34*s_Aeq_Feq!$C7</f>
        <v>2.3574999999999999E-2</v>
      </c>
      <c r="AG39" s="71">
        <f>IFERROR(AF39*s_EFw*s_EDw*s_ETw*(1/24)*s_IRAw,".")</f>
        <v>162.078125</v>
      </c>
      <c r="AH39" s="72">
        <f>IFERROR(AF39*s_EFw*(1/365)*s_EDw*s_ETw*(1/24)*s_GSFa,".")</f>
        <v>2.9603310502283098E-2</v>
      </c>
      <c r="AI39" s="71">
        <f>AG39*up_isospec!$B7</f>
        <v>810.390625</v>
      </c>
      <c r="AJ39" s="73">
        <f>AH39*up_isospec!$C7</f>
        <v>0.14801655251141549</v>
      </c>
      <c r="AK39" s="74">
        <f t="shared" si="40"/>
        <v>810.53864155251142</v>
      </c>
    </row>
    <row r="40" spans="1:37" x14ac:dyDescent="0.25">
      <c r="A40" s="57" t="str">
        <f>up_isospec!A8</f>
        <v>Rn-220</v>
      </c>
      <c r="B40" s="102" t="s">
        <v>169</v>
      </c>
      <c r="C40" s="103" t="s">
        <v>179</v>
      </c>
      <c r="D40" s="104">
        <f>Cia_220*(s_Aeq_Feq!$E$8)</f>
        <v>1.0474586666666668E-3</v>
      </c>
      <c r="E40" s="67">
        <f>IF(SUM(E41:E46)&lt;0.01,SUM(E41:E46),1-EXP(-SUM(E41:E46)))</f>
        <v>1</v>
      </c>
      <c r="F40" s="67">
        <f t="shared" ref="F40:G40" si="41">IF(SUM(F41:F46)&lt;0.01,SUM(F41:F46),1-EXP(-SUM(F41:F46)))</f>
        <v>1</v>
      </c>
      <c r="G40" s="67">
        <f t="shared" si="41"/>
        <v>1</v>
      </c>
      <c r="H40" s="102" t="s">
        <v>169</v>
      </c>
      <c r="I40" s="103" t="s">
        <v>179</v>
      </c>
      <c r="J40" s="104">
        <f>(H41/1000)*(s_Aeq_Feq!$E$8)</f>
        <v>4.4295202488020958E-4</v>
      </c>
      <c r="K40" s="67">
        <f>IF(SUM(K41:K46)&lt;0.01,SUM(K41:K46),1-EXP(-SUM(K41:K46)))</f>
        <v>1</v>
      </c>
      <c r="L40" s="67">
        <f t="shared" ref="L40:M40" si="42">IF(SUM(L41:L46)&lt;0.01,SUM(L41:L46),1-EXP(-SUM(L41:L46)))</f>
        <v>1</v>
      </c>
      <c r="M40" s="67">
        <f t="shared" si="42"/>
        <v>1</v>
      </c>
      <c r="N40" s="102" t="s">
        <v>169</v>
      </c>
      <c r="O40" s="103" t="s">
        <v>179</v>
      </c>
      <c r="P40" s="104">
        <f>(N41/1000)*(s_Aeq_Feq!$E$8)</f>
        <v>5.2372933333333336E-8</v>
      </c>
      <c r="Q40" s="67">
        <f>IF(SUM(Q41:Q46)&lt;0.01,SUM(Q41:Q46),1-EXP(-SUM(Q41:Q46)))</f>
        <v>1</v>
      </c>
      <c r="R40" s="67">
        <f t="shared" ref="R40:S40" si="43">IF(SUM(R41:R46)&lt;0.01,SUM(R41:R46),1-EXP(-SUM(R41:R46)))</f>
        <v>0.95773329876406499</v>
      </c>
      <c r="S40" s="67">
        <f t="shared" si="43"/>
        <v>1</v>
      </c>
      <c r="T40" s="102" t="s">
        <v>169</v>
      </c>
      <c r="U40" s="103" t="s">
        <v>179</v>
      </c>
      <c r="V40" s="104">
        <f>Cia_220*(s_Aeq_Feq!$G$8)</f>
        <v>1.0474586666666668E-3</v>
      </c>
      <c r="W40" s="67">
        <f>IF(SUM(W41:W46)&lt;0.01,SUM(W41:W46),1-EXP(-SUM(W41:W46)))</f>
        <v>1</v>
      </c>
      <c r="X40" s="67">
        <f t="shared" ref="X40:Y40" si="44">IF(SUM(X41:X46)&lt;0.01,SUM(X41:X46),1-EXP(-SUM(X41:X46)))</f>
        <v>1</v>
      </c>
      <c r="Y40" s="67">
        <f t="shared" si="44"/>
        <v>1</v>
      </c>
      <c r="Z40" s="102" t="s">
        <v>169</v>
      </c>
      <c r="AA40" s="103" t="s">
        <v>179</v>
      </c>
      <c r="AB40" s="104">
        <f>(Z41/1000)*(s_Aeq_Feq!$G$8)</f>
        <v>4.4295202488020958E-4</v>
      </c>
      <c r="AC40" s="67">
        <f>IF(SUM(AC41:AC46)&lt;0.01,SUM(AC41:AC46),1-EXP(-SUM(AC41:AC46)))</f>
        <v>1</v>
      </c>
      <c r="AD40" s="67">
        <f t="shared" ref="AD40:AE40" si="45">IF(SUM(AD41:AD46)&lt;0.01,SUM(AD41:AD46),1-EXP(-SUM(AD41:AD46)))</f>
        <v>1</v>
      </c>
      <c r="AE40" s="67">
        <f t="shared" si="45"/>
        <v>1</v>
      </c>
      <c r="AF40" s="102" t="s">
        <v>169</v>
      </c>
      <c r="AG40" s="103" t="s">
        <v>179</v>
      </c>
      <c r="AH40" s="104">
        <f>(AF41/1000)*(s_Aeq_Feq!$G$8)</f>
        <v>5.2372933333333336E-8</v>
      </c>
      <c r="AI40" s="67">
        <f>IF(SUM(AI41:AI46)&lt;0.01,SUM(AI41:AI46),1-EXP(-SUM(AI41:AI46)))</f>
        <v>1</v>
      </c>
      <c r="AJ40" s="67">
        <f t="shared" ref="AJ40:AK40" si="46">IF(SUM(AJ41:AJ46)&lt;0.01,SUM(AJ41:AJ46),1-EXP(-SUM(AJ41:AJ46)))</f>
        <v>0.95773329876406499</v>
      </c>
      <c r="AK40" s="67">
        <f t="shared" si="46"/>
        <v>1</v>
      </c>
    </row>
    <row r="41" spans="1:37" x14ac:dyDescent="0.25">
      <c r="A41" s="57" t="str">
        <f>up_isospec!A8</f>
        <v>Rn-220</v>
      </c>
      <c r="B41" s="75">
        <f>Cia_220*1000</f>
        <v>5000</v>
      </c>
      <c r="C41" s="71">
        <f t="shared" ref="C41:C46" si="47">IFERROR(B41*s_IFAres_adj,".")</f>
        <v>10026041.666666666</v>
      </c>
      <c r="D41" s="72">
        <f t="shared" ref="D41:D46" si="48">IFERROR(B41*s_EFres*(1/365)*s_EDres*s_ETres*(1/24)*s_GSFa,".")</f>
        <v>6278.5388127853876</v>
      </c>
      <c r="E41" s="71">
        <f>C41*up_isospec!$B8</f>
        <v>50130208.333333328</v>
      </c>
      <c r="F41" s="73">
        <f>D41*up_isospec!$C8</f>
        <v>31392.694063926938</v>
      </c>
      <c r="G41" s="74">
        <f t="shared" ref="G41:G46" si="49">SUM(E41:F41)</f>
        <v>50161601.027397253</v>
      </c>
      <c r="H41" s="70">
        <f>IFERROR(Cia_220*(s_AFgw*1000*up_isospec!$M8),".")</f>
        <v>2114.4129070496797</v>
      </c>
      <c r="I41" s="71">
        <f t="shared" ref="I41:I46" si="50">IFERROR(H41*s_IFAres_adj,".")</f>
        <v>4239838.381323576</v>
      </c>
      <c r="J41" s="72">
        <f t="shared" ref="J41:J46" si="51">IFERROR(H41*s_EFres*(1/365)*s_EDres*s_ETres*(1/24)*s_GSFa,".")</f>
        <v>2655.0847006331592</v>
      </c>
      <c r="K41" s="71">
        <f>IFERROR(I41*up_isospec!$B8,".")</f>
        <v>21199191.90661788</v>
      </c>
      <c r="L41" s="73">
        <f>IFERROR(J41*up_isospec!$C8,".")</f>
        <v>13275.423503165795</v>
      </c>
      <c r="M41" s="74">
        <f t="shared" ref="M41:M46" si="52">SUM(K41:L41)</f>
        <v>21212467.330121044</v>
      </c>
      <c r="N41" s="70">
        <f>Cia_220*s_AFss</f>
        <v>0.25</v>
      </c>
      <c r="O41" s="71">
        <f t="shared" ref="O41:O46" si="53">IFERROR(N41*s_IFAres_adj,".")</f>
        <v>501.30208333333331</v>
      </c>
      <c r="P41" s="72">
        <f t="shared" ref="P41:P46" si="54">IFERROR(N41*s_EFres*(1/365)*s_EDres*s_ETres*(1/24)*s_GSFa,".")</f>
        <v>0.31392694063926935</v>
      </c>
      <c r="Q41" s="71">
        <f>O41*up_isospec!$B8</f>
        <v>2506.5104166666665</v>
      </c>
      <c r="R41" s="73">
        <f>P41*up_isospec!$C8</f>
        <v>1.5696347031963467</v>
      </c>
      <c r="S41" s="74">
        <f t="shared" ref="S41:S46" si="55">SUM(Q41:R41)</f>
        <v>2508.0800513698628</v>
      </c>
      <c r="T41" s="75">
        <f>Cia_220*1000</f>
        <v>5000</v>
      </c>
      <c r="U41" s="71">
        <f>IFERROR(T41*s_EFw*s_EDw*s_ETw*(1/24)*s_IRAw,".")</f>
        <v>34375000</v>
      </c>
      <c r="V41" s="72">
        <f>IFERROR(T41*s_EFw*(1/365)*s_EDw*s_ETw*(1/24)*s_GSFa,".")</f>
        <v>6278.5388127853876</v>
      </c>
      <c r="W41" s="71">
        <f>U41*up_isospec!$B8</f>
        <v>171875000</v>
      </c>
      <c r="X41" s="73">
        <f>V41*up_isospec!$C8</f>
        <v>31392.694063926938</v>
      </c>
      <c r="Y41" s="74">
        <f t="shared" ref="Y41:Y46" si="56">SUM(W41:X41)</f>
        <v>171906392.69406393</v>
      </c>
      <c r="Z41" s="70">
        <f>IFERROR(Cia_220*(s_AFgw*1000*up_isospec!$M8),".")</f>
        <v>2114.4129070496797</v>
      </c>
      <c r="AA41" s="71">
        <f>IFERROR(Z41*s_EFw*s_EDw*s_ETw*(1/24)*s_IRAw,".")</f>
        <v>14536588.735966548</v>
      </c>
      <c r="AB41" s="72">
        <f>IFERROR(Z41*s_EFw*(1/365)*s_EDw*s_ETw*(1/24)*s_GSFa,".")</f>
        <v>2655.0847006331592</v>
      </c>
      <c r="AC41" s="71">
        <f>IFERROR(AA41*up_isospec!$B8,".")</f>
        <v>72682943.679832742</v>
      </c>
      <c r="AD41" s="73">
        <f>IFERROR(AB41*up_isospec!$C8,".")</f>
        <v>13275.423503165795</v>
      </c>
      <c r="AE41" s="74">
        <f t="shared" ref="AE41:AE46" si="57">SUM(AC41:AD41)</f>
        <v>72696219.103335902</v>
      </c>
      <c r="AF41" s="70">
        <f>Cia_220*s_AFss</f>
        <v>0.25</v>
      </c>
      <c r="AG41" s="71">
        <f>IFERROR(AF41*s_EFw*s_EDw*s_ETw*(1/24)*s_IRAw,".")</f>
        <v>1718.75</v>
      </c>
      <c r="AH41" s="72">
        <f>IFERROR(AF41*s_EFw*(1/365)*s_EDw*s_ETw*(1/24)*s_GSFa,".")</f>
        <v>0.31392694063926935</v>
      </c>
      <c r="AI41" s="71">
        <f>AG41*up_isospec!$B8</f>
        <v>8593.75</v>
      </c>
      <c r="AJ41" s="73">
        <f>AH41*up_isospec!$C8</f>
        <v>1.5696347031963467</v>
      </c>
      <c r="AK41" s="74">
        <f t="shared" ref="AK41:AK46" si="58">SUM(AI41:AJ41)</f>
        <v>8595.3196347031972</v>
      </c>
    </row>
    <row r="42" spans="1:37" x14ac:dyDescent="0.25">
      <c r="A42" s="57" t="str">
        <f>up_isospec!A9</f>
        <v>Rn-220~Bi-212</v>
      </c>
      <c r="B42" s="70">
        <f>B$41*s_Aeq_Feq!$B9</f>
        <v>8</v>
      </c>
      <c r="C42" s="71">
        <f t="shared" si="47"/>
        <v>16041.666666666666</v>
      </c>
      <c r="D42" s="72">
        <f t="shared" si="48"/>
        <v>10.045662100456619</v>
      </c>
      <c r="E42" s="71">
        <f>C42*up_isospec!$B9</f>
        <v>80208.333333333328</v>
      </c>
      <c r="F42" s="73">
        <f>D42*up_isospec!$C9</f>
        <v>50.228310502283094</v>
      </c>
      <c r="G42" s="74">
        <f t="shared" si="49"/>
        <v>80258.561643835608</v>
      </c>
      <c r="H42" s="70">
        <f>H$41*s_Aeq_Feq!$B9</f>
        <v>3.3830606512794876</v>
      </c>
      <c r="I42" s="71">
        <f t="shared" si="50"/>
        <v>6783.7414101177219</v>
      </c>
      <c r="J42" s="72">
        <f t="shared" si="51"/>
        <v>4.2481355210130545</v>
      </c>
      <c r="K42" s="71">
        <f>IFERROR(I42*up_isospec!$B9,".")</f>
        <v>33918.707050588608</v>
      </c>
      <c r="L42" s="73">
        <f>IFERROR(J42*up_isospec!$C9,".")</f>
        <v>21.240677605065272</v>
      </c>
      <c r="M42" s="74">
        <f t="shared" si="52"/>
        <v>33939.947728193671</v>
      </c>
      <c r="N42" s="70">
        <f>N$41*s_Aeq_Feq!$B9</f>
        <v>4.0000000000000002E-4</v>
      </c>
      <c r="O42" s="71">
        <f t="shared" si="53"/>
        <v>0.80208333333333337</v>
      </c>
      <c r="P42" s="72">
        <f t="shared" si="54"/>
        <v>5.02283105022831E-4</v>
      </c>
      <c r="Q42" s="71">
        <f>O42*up_isospec!$B9</f>
        <v>4.010416666666667</v>
      </c>
      <c r="R42" s="73">
        <f>P42*up_isospec!$C9</f>
        <v>2.5114155251141548E-3</v>
      </c>
      <c r="S42" s="74">
        <f t="shared" si="55"/>
        <v>4.012928082191781</v>
      </c>
      <c r="T42" s="70">
        <f>T$41*s_Aeq_Feq!$C9</f>
        <v>8</v>
      </c>
      <c r="U42" s="71">
        <f>IFERROR(T42*s_EFw*s_EDw*s_ETw*(1/24)*s_IRAw,".")</f>
        <v>55000</v>
      </c>
      <c r="V42" s="72">
        <f>IFERROR(T42*s_EFw*(1/365)*s_EDw*s_ETw*(1/24)*s_GSFa,".")</f>
        <v>10.045662100456619</v>
      </c>
      <c r="W42" s="71">
        <f>U42*up_isospec!$B9</f>
        <v>275000</v>
      </c>
      <c r="X42" s="73">
        <f>V42*up_isospec!$C9</f>
        <v>50.228310502283094</v>
      </c>
      <c r="Y42" s="74">
        <f t="shared" si="56"/>
        <v>275050.22831050231</v>
      </c>
      <c r="Z42" s="70">
        <f>Z$41*s_Aeq_Feq!$C9</f>
        <v>3.3830606512794876</v>
      </c>
      <c r="AA42" s="71">
        <f>IFERROR(Z42*s_EFw*s_EDw*s_ETw*(1/24)*s_IRAw,".")</f>
        <v>23258.541977546476</v>
      </c>
      <c r="AB42" s="72">
        <f>IFERROR(Z42*s_EFw*(1/365)*s_EDw*s_ETw*(1/24)*s_GSFa,".")</f>
        <v>4.2481355210130545</v>
      </c>
      <c r="AC42" s="71">
        <f>IFERROR(AA42*up_isospec!$B9,".")</f>
        <v>116292.70988773237</v>
      </c>
      <c r="AD42" s="73">
        <f>IFERROR(AB42*up_isospec!$C9,".")</f>
        <v>21.240677605065272</v>
      </c>
      <c r="AE42" s="74">
        <f t="shared" si="57"/>
        <v>116313.95056533744</v>
      </c>
      <c r="AF42" s="70">
        <f>AF$41*s_Aeq_Feq!$C9</f>
        <v>4.0000000000000002E-4</v>
      </c>
      <c r="AG42" s="71">
        <f>IFERROR(AF42*s_EFw*s_EDw*s_ETw*(1/24)*s_IRAw,".")</f>
        <v>2.75</v>
      </c>
      <c r="AH42" s="72">
        <f>IFERROR(AF42*s_EFw*(1/365)*s_EDw*s_ETw*(1/24)*s_GSFa,".")</f>
        <v>5.02283105022831E-4</v>
      </c>
      <c r="AI42" s="71">
        <f>AG42*up_isospec!$B9</f>
        <v>13.75</v>
      </c>
      <c r="AJ42" s="73">
        <f>AH42*up_isospec!$C9</f>
        <v>2.5114155251141548E-3</v>
      </c>
      <c r="AK42" s="74">
        <f t="shared" si="58"/>
        <v>13.752511415525115</v>
      </c>
    </row>
    <row r="43" spans="1:37" x14ac:dyDescent="0.25">
      <c r="A43" s="57" t="str">
        <f>up_isospec!A10</f>
        <v>Rn-220~Pb-212</v>
      </c>
      <c r="B43" s="70">
        <f>B$41*s_Aeq_Feq!$B10</f>
        <v>64.5</v>
      </c>
      <c r="C43" s="71">
        <f t="shared" si="47"/>
        <v>129335.9375</v>
      </c>
      <c r="D43" s="72">
        <f t="shared" si="48"/>
        <v>80.993150684931507</v>
      </c>
      <c r="E43" s="71">
        <f>C43*up_isospec!$B10</f>
        <v>646679.6875</v>
      </c>
      <c r="F43" s="73">
        <f>D43*up_isospec!$C10</f>
        <v>404.96575342465752</v>
      </c>
      <c r="G43" s="74">
        <f t="shared" si="49"/>
        <v>647084.65325342468</v>
      </c>
      <c r="H43" s="70">
        <f>H$41*s_Aeq_Feq!$B10</f>
        <v>27.275926500940869</v>
      </c>
      <c r="I43" s="71">
        <f t="shared" si="50"/>
        <v>54693.91511907414</v>
      </c>
      <c r="J43" s="72">
        <f t="shared" si="51"/>
        <v>34.250592638167753</v>
      </c>
      <c r="K43" s="71">
        <f>IFERROR(I43*up_isospec!$B10,".")</f>
        <v>273469.57559537073</v>
      </c>
      <c r="L43" s="73">
        <f>IFERROR(J43*up_isospec!$C10,".")</f>
        <v>171.25296319083876</v>
      </c>
      <c r="M43" s="74">
        <f t="shared" si="52"/>
        <v>273640.82855856157</v>
      </c>
      <c r="N43" s="70">
        <f>N$41*s_Aeq_Feq!$B10</f>
        <v>3.225E-3</v>
      </c>
      <c r="O43" s="71">
        <f t="shared" si="53"/>
        <v>6.466796875</v>
      </c>
      <c r="P43" s="72">
        <f t="shared" si="54"/>
        <v>4.0496575342465757E-3</v>
      </c>
      <c r="Q43" s="71">
        <f>O43*up_isospec!$B10</f>
        <v>32.333984375</v>
      </c>
      <c r="R43" s="73">
        <f>P43*up_isospec!$C10</f>
        <v>2.0248287671232879E-2</v>
      </c>
      <c r="S43" s="74">
        <f t="shared" si="55"/>
        <v>32.35423266267123</v>
      </c>
      <c r="T43" s="70">
        <f>T$41*s_Aeq_Feq!$C10</f>
        <v>64.5</v>
      </c>
      <c r="U43" s="71">
        <f>IFERROR(T43*s_EFw*s_EDw*s_ETw*(1/24)*s_IRAw,".")</f>
        <v>443437.5</v>
      </c>
      <c r="V43" s="72">
        <f>IFERROR(T43*s_EFw*(1/365)*s_EDw*s_ETw*(1/24)*s_GSFa,".")</f>
        <v>80.993150684931507</v>
      </c>
      <c r="W43" s="71">
        <f>U43*up_isospec!$B10</f>
        <v>2217187.5</v>
      </c>
      <c r="X43" s="73">
        <f>V43*up_isospec!$C10</f>
        <v>404.96575342465752</v>
      </c>
      <c r="Y43" s="74">
        <f t="shared" si="56"/>
        <v>2217592.4657534244</v>
      </c>
      <c r="Z43" s="70">
        <f>Z$41*s_Aeq_Feq!$C10</f>
        <v>27.275926500940869</v>
      </c>
      <c r="AA43" s="71">
        <f>IFERROR(Z43*s_EFw*s_EDw*s_ETw*(1/24)*s_IRAw,".")</f>
        <v>187521.99469396847</v>
      </c>
      <c r="AB43" s="72">
        <f>IFERROR(Z43*s_EFw*(1/365)*s_EDw*s_ETw*(1/24)*s_GSFa,".")</f>
        <v>34.250592638167753</v>
      </c>
      <c r="AC43" s="71">
        <f>IFERROR(AA43*up_isospec!$B10,".")</f>
        <v>937609.97346984234</v>
      </c>
      <c r="AD43" s="73">
        <f>IFERROR(AB43*up_isospec!$C10,".")</f>
        <v>171.25296319083876</v>
      </c>
      <c r="AE43" s="74">
        <f t="shared" si="57"/>
        <v>937781.22643303312</v>
      </c>
      <c r="AF43" s="70">
        <f>AF$41*s_Aeq_Feq!$C10</f>
        <v>3.225E-3</v>
      </c>
      <c r="AG43" s="71">
        <f>IFERROR(AF43*s_EFw*s_EDw*s_ETw*(1/24)*s_IRAw,".")</f>
        <v>22.171875</v>
      </c>
      <c r="AH43" s="72">
        <f>IFERROR(AF43*s_EFw*(1/365)*s_EDw*s_ETw*(1/24)*s_GSFa,".")</f>
        <v>4.0496575342465757E-3</v>
      </c>
      <c r="AI43" s="71">
        <f>AG43*up_isospec!$B10</f>
        <v>110.859375</v>
      </c>
      <c r="AJ43" s="73">
        <f>AH43*up_isospec!$C10</f>
        <v>2.0248287671232879E-2</v>
      </c>
      <c r="AK43" s="74">
        <f t="shared" si="58"/>
        <v>110.87962328767124</v>
      </c>
    </row>
    <row r="44" spans="1:37" x14ac:dyDescent="0.25">
      <c r="A44" s="57" t="str">
        <f>up_isospec!A11</f>
        <v>Rn-220~Po-212</v>
      </c>
      <c r="B44" s="70">
        <f>B$41*s_Aeq_Feq!$B11</f>
        <v>5</v>
      </c>
      <c r="C44" s="71">
        <f t="shared" si="47"/>
        <v>10026.041666666666</v>
      </c>
      <c r="D44" s="72">
        <f t="shared" si="48"/>
        <v>6.2785388127853885</v>
      </c>
      <c r="E44" s="71">
        <f>C44*up_isospec!$B11</f>
        <v>50130.208333333328</v>
      </c>
      <c r="F44" s="73">
        <f>D44*up_isospec!$C11</f>
        <v>31.392694063926943</v>
      </c>
      <c r="G44" s="74">
        <f t="shared" si="49"/>
        <v>50161.601027397257</v>
      </c>
      <c r="H44" s="70">
        <f>H$41*s_Aeq_Feq!$B11</f>
        <v>2.1144129070496795</v>
      </c>
      <c r="I44" s="71">
        <f t="shared" si="50"/>
        <v>4239.838381323576</v>
      </c>
      <c r="J44" s="72">
        <f t="shared" si="51"/>
        <v>2.655084700633159</v>
      </c>
      <c r="K44" s="71">
        <f>IFERROR(I44*up_isospec!$B11,".")</f>
        <v>21199.191906617882</v>
      </c>
      <c r="L44" s="73">
        <f>IFERROR(J44*up_isospec!$C11,".")</f>
        <v>13.275423503165795</v>
      </c>
      <c r="M44" s="74">
        <f t="shared" si="52"/>
        <v>21212.467330121046</v>
      </c>
      <c r="N44" s="70">
        <f>N$41*s_Aeq_Feq!$B11</f>
        <v>2.5000000000000001E-4</v>
      </c>
      <c r="O44" s="71">
        <f t="shared" si="53"/>
        <v>0.50130208333333337</v>
      </c>
      <c r="P44" s="72">
        <f t="shared" si="54"/>
        <v>3.139269406392694E-4</v>
      </c>
      <c r="Q44" s="71">
        <f>O44*up_isospec!$B11</f>
        <v>2.506510416666667</v>
      </c>
      <c r="R44" s="73">
        <f>P44*up_isospec!$C11</f>
        <v>1.5696347031963469E-3</v>
      </c>
      <c r="S44" s="74">
        <f t="shared" si="55"/>
        <v>2.5080800513698631</v>
      </c>
      <c r="T44" s="70">
        <f>T$41*s_Aeq_Feq!$C11</f>
        <v>5</v>
      </c>
      <c r="U44" s="71">
        <f>IFERROR(T44*s_EFw*s_EDw*s_ETw*(1/24)*s_IRAw,".")</f>
        <v>34375</v>
      </c>
      <c r="V44" s="72">
        <f>IFERROR(T44*s_EFw*(1/365)*s_EDw*s_ETw*(1/24)*s_GSFa,".")</f>
        <v>6.2785388127853885</v>
      </c>
      <c r="W44" s="71">
        <f>U44*up_isospec!$B11</f>
        <v>171875</v>
      </c>
      <c r="X44" s="73">
        <f>V44*up_isospec!$C11</f>
        <v>31.392694063926943</v>
      </c>
      <c r="Y44" s="74">
        <f t="shared" si="56"/>
        <v>171906.39269406392</v>
      </c>
      <c r="Z44" s="70">
        <f>Z$41*s_Aeq_Feq!$C11</f>
        <v>2.1144129070496795</v>
      </c>
      <c r="AA44" s="71">
        <f>IFERROR(Z44*s_EFw*s_EDw*s_ETw*(1/24)*s_IRAw,".")</f>
        <v>14536.588735966547</v>
      </c>
      <c r="AB44" s="72">
        <f>IFERROR(Z44*s_EFw*(1/365)*s_EDw*s_ETw*(1/24)*s_GSFa,".")</f>
        <v>2.655084700633159</v>
      </c>
      <c r="AC44" s="71">
        <f>IFERROR(AA44*up_isospec!$B11,".")</f>
        <v>72682.943679832737</v>
      </c>
      <c r="AD44" s="73">
        <f>IFERROR(AB44*up_isospec!$C11,".")</f>
        <v>13.275423503165795</v>
      </c>
      <c r="AE44" s="74">
        <f t="shared" si="57"/>
        <v>72696.219103335898</v>
      </c>
      <c r="AF44" s="70">
        <f>AF$41*s_Aeq_Feq!$C11</f>
        <v>2.5000000000000001E-4</v>
      </c>
      <c r="AG44" s="71">
        <f>IFERROR(AF44*s_EFw*s_EDw*s_ETw*(1/24)*s_IRAw,".")</f>
        <v>1.71875</v>
      </c>
      <c r="AH44" s="72">
        <f>IFERROR(AF44*s_EFw*(1/365)*s_EDw*s_ETw*(1/24)*s_GSFa,".")</f>
        <v>3.139269406392694E-4</v>
      </c>
      <c r="AI44" s="71">
        <f>AG44*up_isospec!$B11</f>
        <v>8.59375</v>
      </c>
      <c r="AJ44" s="73">
        <f>AH44*up_isospec!$C11</f>
        <v>1.5696347031963469E-3</v>
      </c>
      <c r="AK44" s="74">
        <f t="shared" si="58"/>
        <v>8.5953196347031966</v>
      </c>
    </row>
    <row r="45" spans="1:37" x14ac:dyDescent="0.25">
      <c r="A45" s="57" t="str">
        <f>up_isospec!A12</f>
        <v>Rn-220~Po-216</v>
      </c>
      <c r="B45" s="70">
        <f>B$41*s_Aeq_Feq!$B12</f>
        <v>4998.5</v>
      </c>
      <c r="C45" s="71">
        <f t="shared" si="47"/>
        <v>10023033.854166666</v>
      </c>
      <c r="D45" s="72">
        <f t="shared" si="48"/>
        <v>6276.6552511415512</v>
      </c>
      <c r="E45" s="71">
        <f>C45*up_isospec!$B12</f>
        <v>50115169.270833328</v>
      </c>
      <c r="F45" s="73">
        <f>D45*up_isospec!$C12</f>
        <v>31383.276255707755</v>
      </c>
      <c r="G45" s="74">
        <f t="shared" si="49"/>
        <v>50146552.547089033</v>
      </c>
      <c r="H45" s="70">
        <f>H$41*s_Aeq_Feq!$B12</f>
        <v>2113.778583177565</v>
      </c>
      <c r="I45" s="71">
        <f t="shared" si="50"/>
        <v>4238566.4298091801</v>
      </c>
      <c r="J45" s="72">
        <f t="shared" si="51"/>
        <v>2654.2881752229696</v>
      </c>
      <c r="K45" s="71">
        <f>IFERROR(I45*up_isospec!$B12,".")</f>
        <v>21192832.1490459</v>
      </c>
      <c r="L45" s="73">
        <f>IFERROR(J45*up_isospec!$C12,".")</f>
        <v>13271.440876114848</v>
      </c>
      <c r="M45" s="74">
        <f t="shared" si="52"/>
        <v>21206103.589922015</v>
      </c>
      <c r="N45" s="70">
        <f>N$41*s_Aeq_Feq!$B12</f>
        <v>0.24992500000000001</v>
      </c>
      <c r="O45" s="71">
        <f t="shared" si="53"/>
        <v>501.15169270833331</v>
      </c>
      <c r="P45" s="72">
        <f t="shared" si="54"/>
        <v>0.31383276255707759</v>
      </c>
      <c r="Q45" s="71">
        <f>O45*up_isospec!$B12</f>
        <v>2505.7584635416665</v>
      </c>
      <c r="R45" s="73">
        <f>P45*up_isospec!$C12</f>
        <v>1.569163812785388</v>
      </c>
      <c r="S45" s="74">
        <f t="shared" si="55"/>
        <v>2507.327627354452</v>
      </c>
      <c r="T45" s="70">
        <f>T$41*s_Aeq_Feq!$C12</f>
        <v>4998.5</v>
      </c>
      <c r="U45" s="71">
        <f>IFERROR(T45*s_EFw*s_EDw*s_ETw*(1/24)*s_IRAw,".")</f>
        <v>34364687.5</v>
      </c>
      <c r="V45" s="72">
        <f>IFERROR(T45*s_EFw*(1/365)*s_EDw*s_ETw*(1/24)*s_GSFa,".")</f>
        <v>6276.6552511415512</v>
      </c>
      <c r="W45" s="71">
        <f>U45*up_isospec!$B12</f>
        <v>171823437.5</v>
      </c>
      <c r="X45" s="73">
        <f>V45*up_isospec!$C12</f>
        <v>31383.276255707755</v>
      </c>
      <c r="Y45" s="74">
        <f t="shared" si="56"/>
        <v>171854820.7762557</v>
      </c>
      <c r="Z45" s="70">
        <f>Z$41*s_Aeq_Feq!$C12</f>
        <v>2113.778583177565</v>
      </c>
      <c r="AA45" s="71">
        <f>IFERROR(Z45*s_EFw*s_EDw*s_ETw*(1/24)*s_IRAw,".")</f>
        <v>14532227.759345759</v>
      </c>
      <c r="AB45" s="72">
        <f>IFERROR(Z45*s_EFw*(1/365)*s_EDw*s_ETw*(1/24)*s_GSFa,".")</f>
        <v>2654.2881752229696</v>
      </c>
      <c r="AC45" s="71">
        <f>IFERROR(AA45*up_isospec!$B12,".")</f>
        <v>72661138.79672879</v>
      </c>
      <c r="AD45" s="73">
        <f>IFERROR(AB45*up_isospec!$C12,".")</f>
        <v>13271.440876114848</v>
      </c>
      <c r="AE45" s="74">
        <f t="shared" si="57"/>
        <v>72674410.237604901</v>
      </c>
      <c r="AF45" s="70">
        <f>AF$41*s_Aeq_Feq!$C12</f>
        <v>0.24992500000000001</v>
      </c>
      <c r="AG45" s="71">
        <f>IFERROR(AF45*s_EFw*s_EDw*s_ETw*(1/24)*s_IRAw,".")</f>
        <v>1718.234375</v>
      </c>
      <c r="AH45" s="72">
        <f>IFERROR(AF45*s_EFw*(1/365)*s_EDw*s_ETw*(1/24)*s_GSFa,".")</f>
        <v>0.31383276255707759</v>
      </c>
      <c r="AI45" s="71">
        <f>AG45*up_isospec!$B12</f>
        <v>8591.171875</v>
      </c>
      <c r="AJ45" s="73">
        <f>AH45*up_isospec!$C12</f>
        <v>1.569163812785388</v>
      </c>
      <c r="AK45" s="74">
        <f t="shared" si="58"/>
        <v>8592.7410388127846</v>
      </c>
    </row>
    <row r="46" spans="1:37" x14ac:dyDescent="0.25">
      <c r="A46" s="57" t="str">
        <f>up_isospec!A13</f>
        <v>Rn-220~Tl-208</v>
      </c>
      <c r="B46" s="70">
        <f>B$41*s_Aeq_Feq!$B13</f>
        <v>2</v>
      </c>
      <c r="C46" s="71">
        <f t="shared" si="47"/>
        <v>4010.4166666666665</v>
      </c>
      <c r="D46" s="72">
        <f t="shared" si="48"/>
        <v>2.5114155251141548</v>
      </c>
      <c r="E46" s="71">
        <f>C46*up_isospec!$B13</f>
        <v>20052.083333333332</v>
      </c>
      <c r="F46" s="73">
        <f>D46*up_isospec!$C13</f>
        <v>12.557077625570773</v>
      </c>
      <c r="G46" s="74">
        <f t="shared" si="49"/>
        <v>20064.640410958902</v>
      </c>
      <c r="H46" s="70">
        <f>H$41*s_Aeq_Feq!$B13</f>
        <v>0.84576516281987191</v>
      </c>
      <c r="I46" s="71">
        <f t="shared" si="50"/>
        <v>1695.9353525294305</v>
      </c>
      <c r="J46" s="72">
        <f t="shared" si="51"/>
        <v>1.0620338802532636</v>
      </c>
      <c r="K46" s="71">
        <f>IFERROR(I46*up_isospec!$B13,".")</f>
        <v>8479.6767626471519</v>
      </c>
      <c r="L46" s="73">
        <f>IFERROR(J46*up_isospec!$C13,".")</f>
        <v>5.3101694012663181</v>
      </c>
      <c r="M46" s="74">
        <f t="shared" si="52"/>
        <v>8484.9869320484177</v>
      </c>
      <c r="N46" s="70">
        <f>N$41*s_Aeq_Feq!$B13</f>
        <v>1E-4</v>
      </c>
      <c r="O46" s="71">
        <f t="shared" si="53"/>
        <v>0.20052083333333334</v>
      </c>
      <c r="P46" s="72">
        <f t="shared" si="54"/>
        <v>1.2557077625570775E-4</v>
      </c>
      <c r="Q46" s="71">
        <f>O46*up_isospec!$B13</f>
        <v>1.0026041666666667</v>
      </c>
      <c r="R46" s="73">
        <f>P46*up_isospec!$C13</f>
        <v>6.2785388127853869E-4</v>
      </c>
      <c r="S46" s="74">
        <f t="shared" si="55"/>
        <v>1.0032320205479452</v>
      </c>
      <c r="T46" s="70">
        <f>T$41*s_Aeq_Feq!$C13</f>
        <v>2</v>
      </c>
      <c r="U46" s="71">
        <f>IFERROR(T46*s_EFw*s_EDw*s_ETw*(1/24)*s_IRAw,".")</f>
        <v>13750</v>
      </c>
      <c r="V46" s="72">
        <f>IFERROR(T46*s_EFw*(1/365)*s_EDw*s_ETw*(1/24)*s_GSFa,".")</f>
        <v>2.5114155251141548</v>
      </c>
      <c r="W46" s="71">
        <f>U46*up_isospec!$B13</f>
        <v>68750</v>
      </c>
      <c r="X46" s="73">
        <f>V46*up_isospec!$C13</f>
        <v>12.557077625570773</v>
      </c>
      <c r="Y46" s="74">
        <f t="shared" si="56"/>
        <v>68762.557077625577</v>
      </c>
      <c r="Z46" s="70">
        <f>Z$41*s_Aeq_Feq!$C13</f>
        <v>0.84576516281987191</v>
      </c>
      <c r="AA46" s="71">
        <f>IFERROR(Z46*s_EFw*s_EDw*s_ETw*(1/24)*s_IRAw,".")</f>
        <v>5814.635494386619</v>
      </c>
      <c r="AB46" s="72">
        <f>IFERROR(Z46*s_EFw*(1/365)*s_EDw*s_ETw*(1/24)*s_GSFa,".")</f>
        <v>1.0620338802532636</v>
      </c>
      <c r="AC46" s="71">
        <f>IFERROR(AA46*up_isospec!$B13,".")</f>
        <v>29073.177471933093</v>
      </c>
      <c r="AD46" s="73">
        <f>IFERROR(AB46*up_isospec!$C13,".")</f>
        <v>5.3101694012663181</v>
      </c>
      <c r="AE46" s="74">
        <f t="shared" si="57"/>
        <v>29078.487641334359</v>
      </c>
      <c r="AF46" s="70">
        <f>AF$41*s_Aeq_Feq!$C13</f>
        <v>1E-4</v>
      </c>
      <c r="AG46" s="71">
        <f>IFERROR(AF46*s_EFw*s_EDw*s_ETw*(1/24)*s_IRAw,".")</f>
        <v>0.6875</v>
      </c>
      <c r="AH46" s="72">
        <f>IFERROR(AF46*s_EFw*(1/365)*s_EDw*s_ETw*(1/24)*s_GSFa,".")</f>
        <v>1.2557077625570775E-4</v>
      </c>
      <c r="AI46" s="71">
        <f>AG46*up_isospec!$B13</f>
        <v>3.4375</v>
      </c>
      <c r="AJ46" s="73">
        <f>AH46*up_isospec!$C13</f>
        <v>6.2785388127853869E-4</v>
      </c>
      <c r="AK46" s="74">
        <f t="shared" si="58"/>
        <v>3.4381278538812787</v>
      </c>
    </row>
    <row r="47" spans="1:37" x14ac:dyDescent="0.25">
      <c r="A47" s="57" t="str">
        <f>up_isospec!A14</f>
        <v>Rn-222</v>
      </c>
      <c r="B47" s="102" t="s">
        <v>169</v>
      </c>
      <c r="C47" s="103" t="s">
        <v>179</v>
      </c>
      <c r="D47" s="104">
        <f>Cia_222*(s_Aeq_Feq!$E$14)</f>
        <v>1.73966222E-2</v>
      </c>
      <c r="E47" s="67">
        <f>IF(SUM(E48:E60)&lt;0.01,SUM(E48:E60),1-EXP(-SUM(E48:E60)))</f>
        <v>1</v>
      </c>
      <c r="F47" s="68">
        <f>IF(SUM(F48:F60)&lt;0.01,SUM(F48:F60),1-EXP(-SUM(F48:F60)))</f>
        <v>1</v>
      </c>
      <c r="G47" s="69">
        <f>IF(SUM(G48:G60)&lt;0.01,SUM(G48:G60),1-EXP(-SUM(G48:G60)))</f>
        <v>1</v>
      </c>
      <c r="H47" s="102" t="s">
        <v>169</v>
      </c>
      <c r="I47" s="103" t="s">
        <v>179</v>
      </c>
      <c r="J47" s="104">
        <f>(H48/1000)*(s_Aeq_Feq!$E$14)</f>
        <v>7.3567285037493988E-3</v>
      </c>
      <c r="K47" s="67">
        <f>IF(SUM(K48:K60)&lt;0.01,SUM(K48:K60),1-EXP(-SUM(K48:K60)))</f>
        <v>1</v>
      </c>
      <c r="L47" s="68">
        <f>IF(SUM(L48:L60)&lt;0.01,SUM(L48:L60),1-EXP(-SUM(L48:L60)))</f>
        <v>1</v>
      </c>
      <c r="M47" s="69">
        <f>IF(SUM(M48:M60)&lt;0.01,SUM(M48:M60),1-EXP(-SUM(M48:M60)))</f>
        <v>1</v>
      </c>
      <c r="N47" s="102" t="s">
        <v>169</v>
      </c>
      <c r="O47" s="103" t="s">
        <v>179</v>
      </c>
      <c r="P47" s="104">
        <f>(N48/1000)*(s_Aeq_Feq!$E$14)</f>
        <v>8.6983111000000011E-7</v>
      </c>
      <c r="Q47" s="67">
        <f>IF(SUM(Q48:Q60)&lt;0.01,SUM(Q48:Q60),1-EXP(-SUM(Q48:Q60)))</f>
        <v>1</v>
      </c>
      <c r="R47" s="68">
        <f>IF(SUM(R48:R60)&lt;0.01,SUM(R48:R60),1-EXP(-SUM(R48:R60)))</f>
        <v>0.95688596563745576</v>
      </c>
      <c r="S47" s="69">
        <f>IF(SUM(S48:S60)&lt;0.01,SUM(S48:S60),1-EXP(-SUM(S48:S60)))</f>
        <v>1</v>
      </c>
      <c r="T47" s="102" t="s">
        <v>169</v>
      </c>
      <c r="U47" s="103" t="s">
        <v>179</v>
      </c>
      <c r="V47" s="104">
        <f>Cia_222*(s_Aeq_Feq!$G$14)</f>
        <v>1.73966222E-2</v>
      </c>
      <c r="W47" s="67">
        <f>IF(SUM(W48:W60)&lt;0.01,SUM(W48:W60),1-EXP(-SUM(W48:W60)))</f>
        <v>1</v>
      </c>
      <c r="X47" s="68">
        <f>IF(SUM(X48:X60)&lt;0.01,SUM(X48:X60),1-EXP(-SUM(X48:X60)))</f>
        <v>1</v>
      </c>
      <c r="Y47" s="69">
        <f>IF(SUM(Y48:Y60)&lt;0.01,SUM(Y48:Y60),1-EXP(-SUM(Y48:Y60)))</f>
        <v>1</v>
      </c>
      <c r="Z47" s="102" t="s">
        <v>169</v>
      </c>
      <c r="AA47" s="103" t="s">
        <v>179</v>
      </c>
      <c r="AB47" s="104">
        <f>(Z48/1000)*(s_Aeq_Feq!$G$14)</f>
        <v>7.3567285037493988E-3</v>
      </c>
      <c r="AC47" s="67">
        <f>IF(SUM(AC48:AC60)&lt;0.01,SUM(AC48:AC60),1-EXP(-SUM(AC48:AC60)))</f>
        <v>1</v>
      </c>
      <c r="AD47" s="68">
        <f>IF(SUM(AD48:AD60)&lt;0.01,SUM(AD48:AD60),1-EXP(-SUM(AD48:AD60)))</f>
        <v>1</v>
      </c>
      <c r="AE47" s="69">
        <f>IF(SUM(AE48:AE60)&lt;0.01,SUM(AE48:AE60),1-EXP(-SUM(AE48:AE60)))</f>
        <v>1</v>
      </c>
      <c r="AF47" s="102" t="s">
        <v>169</v>
      </c>
      <c r="AG47" s="103" t="s">
        <v>179</v>
      </c>
      <c r="AH47" s="104">
        <f>(AF48/1000)*(s_Aeq_Feq!$G$14)</f>
        <v>8.6983111000000011E-7</v>
      </c>
      <c r="AI47" s="67">
        <f>IF(SUM(AI48:AI60)&lt;0.01,SUM(AI48:AI60),1-EXP(-SUM(AI48:AI60)))</f>
        <v>1</v>
      </c>
      <c r="AJ47" s="68">
        <f>IF(SUM(AJ48:AJ60)&lt;0.01,SUM(AJ48:AJ60),1-EXP(-SUM(AJ48:AJ60)))</f>
        <v>0.95688596563745576</v>
      </c>
      <c r="AK47" s="69">
        <f>IF(SUM(AK48:AK60)&lt;0.01,SUM(AK48:AK60),1-EXP(-SUM(AK48:AK60)))</f>
        <v>1</v>
      </c>
    </row>
    <row r="48" spans="1:37" x14ac:dyDescent="0.25">
      <c r="A48" s="23" t="str">
        <f>up_isospec!A14</f>
        <v>Rn-222</v>
      </c>
      <c r="B48" s="75">
        <f>Cia_222*1000</f>
        <v>5000</v>
      </c>
      <c r="C48" s="76">
        <f t="shared" ref="C48:C60" si="59">IFERROR(B48*s_IFAres_adj,".")</f>
        <v>10026041.666666666</v>
      </c>
      <c r="D48" s="77">
        <f t="shared" ref="D48:D60" si="60">IFERROR(B48*s_EFres*(1/365)*s_EDres*s_ETres*(1/24)*s_GSFa,".")</f>
        <v>6278.5388127853876</v>
      </c>
      <c r="E48" s="76">
        <f>C48*up_isospec!$B14</f>
        <v>50130208.333333328</v>
      </c>
      <c r="F48" s="78">
        <f>D48*up_isospec!$C14</f>
        <v>31392.694063926938</v>
      </c>
      <c r="G48" s="74">
        <f>SUM(E48:F48)</f>
        <v>50161601.027397253</v>
      </c>
      <c r="H48" s="70">
        <f>IFERROR(Cia_222*(s_AFgw*1000*up_isospec!$M14),".")</f>
        <v>2114.4129070496797</v>
      </c>
      <c r="I48" s="71">
        <f t="shared" ref="I48:I60" si="61">IFERROR(H48*s_IFAres_adj,".")</f>
        <v>4239838.381323576</v>
      </c>
      <c r="J48" s="72">
        <f t="shared" ref="J48:J60" si="62">IFERROR(H48*s_EFres*(1/365)*s_EDres*s_ETres*(1/24)*s_GSFa,".")</f>
        <v>2655.0847006331592</v>
      </c>
      <c r="K48" s="71">
        <f>IFERROR(I48*up_isospec!$B14,".")</f>
        <v>21199191.90661788</v>
      </c>
      <c r="L48" s="73">
        <f>IFERROR(J48*up_isospec!$C14,".")</f>
        <v>13275.423503165795</v>
      </c>
      <c r="M48" s="74">
        <f t="shared" ref="M48:M60" si="63">SUM(K48:L48)</f>
        <v>21212467.330121044</v>
      </c>
      <c r="N48" s="70">
        <f>Cia_222*s_AFss</f>
        <v>0.25</v>
      </c>
      <c r="O48" s="71">
        <f t="shared" ref="O48:O60" si="64">IFERROR(N48*s_IFAres_adj,".")</f>
        <v>501.30208333333331</v>
      </c>
      <c r="P48" s="72">
        <f t="shared" ref="P48:P60" si="65">IFERROR(N48*s_EFres*(1/365)*s_EDres*s_ETres*(1/24)*s_GSFa,".")</f>
        <v>0.31392694063926935</v>
      </c>
      <c r="Q48" s="71">
        <f>O48*up_isospec!$B14</f>
        <v>2506.5104166666665</v>
      </c>
      <c r="R48" s="73">
        <f>P48*up_isospec!$C14</f>
        <v>1.5696347031963467</v>
      </c>
      <c r="S48" s="74">
        <f t="shared" ref="S48:S60" si="66">SUM(Q48:R48)</f>
        <v>2508.0800513698628</v>
      </c>
      <c r="T48" s="75">
        <f>Cia_222*1000</f>
        <v>5000</v>
      </c>
      <c r="U48" s="71">
        <f>IFERROR(T48*s_EFw*s_EDw*s_ETw*(1/24)*s_IRAw,".")</f>
        <v>34375000</v>
      </c>
      <c r="V48" s="72">
        <f>IFERROR(T48*s_EFw*(1/365)*s_EDw*s_ETw*(1/24)*s_GSFa,".")</f>
        <v>6278.5388127853876</v>
      </c>
      <c r="W48" s="76">
        <f>U48*up_isospec!$B14</f>
        <v>171875000</v>
      </c>
      <c r="X48" s="78">
        <f>V48*up_isospec!$C14</f>
        <v>31392.694063926938</v>
      </c>
      <c r="Y48" s="74">
        <f>SUM(W48:X48)</f>
        <v>171906392.69406393</v>
      </c>
      <c r="Z48" s="70">
        <f>IFERROR(Cia_222*(s_AFgw*1000*up_isospec!$M14),".")</f>
        <v>2114.4129070496797</v>
      </c>
      <c r="AA48" s="71">
        <f>IFERROR(Z48*s_EFw*s_EDw*s_ETw*(1/24)*s_IRAw,".")</f>
        <v>14536588.735966548</v>
      </c>
      <c r="AB48" s="72">
        <f>IFERROR(Z48*s_EFw*(1/365)*s_EDw*s_ETw*(1/24)*s_GSFa,".")</f>
        <v>2655.0847006331592</v>
      </c>
      <c r="AC48" s="71">
        <f>IFERROR(AA48*up_isospec!$B14,".")</f>
        <v>72682943.679832742</v>
      </c>
      <c r="AD48" s="73">
        <f>IFERROR(AB48*up_isospec!$C14,".")</f>
        <v>13275.423503165795</v>
      </c>
      <c r="AE48" s="74">
        <f t="shared" ref="AE48:AE60" si="67">SUM(AC48:AD48)</f>
        <v>72696219.103335902</v>
      </c>
      <c r="AF48" s="70">
        <f>Cia_222*s_AFss</f>
        <v>0.25</v>
      </c>
      <c r="AG48" s="71">
        <f>IFERROR(AF48*s_EFw*s_EDw*s_ETw*(1/24)*s_IRAw,".")</f>
        <v>1718.75</v>
      </c>
      <c r="AH48" s="72">
        <f>IFERROR(AF48*s_EFw*(1/365)*s_EDw*s_ETw*(1/24)*s_GSFa,".")</f>
        <v>0.31392694063926935</v>
      </c>
      <c r="AI48" s="71">
        <f>AG48*up_isospec!$B14</f>
        <v>8593.75</v>
      </c>
      <c r="AJ48" s="73">
        <f>AH48*up_isospec!$C14</f>
        <v>1.5696347031963467</v>
      </c>
      <c r="AK48" s="74">
        <f t="shared" ref="AK48:AK60" si="68">SUM(AI48:AJ48)</f>
        <v>8595.3196347031972</v>
      </c>
    </row>
    <row r="49" spans="1:37" x14ac:dyDescent="0.25">
      <c r="A49" s="23" t="str">
        <f>up_isospec!A15</f>
        <v>Rn-222~At-218</v>
      </c>
      <c r="B49" s="70">
        <f>B$48*s_Aeq_Feq!$B15</f>
        <v>0.72499999999999998</v>
      </c>
      <c r="C49" s="71">
        <f t="shared" si="59"/>
        <v>1453.7760416666665</v>
      </c>
      <c r="D49" s="72">
        <f t="shared" si="60"/>
        <v>0.91038812785388123</v>
      </c>
      <c r="E49" s="71">
        <f>C49*up_isospec!$B15</f>
        <v>7268.8802083333321</v>
      </c>
      <c r="F49" s="73">
        <f>D49*up_isospec!$C15</f>
        <v>4.5519406392694064</v>
      </c>
      <c r="G49" s="74">
        <f t="shared" ref="G49:G60" si="69">SUM(E49:F49)</f>
        <v>7273.4321489726017</v>
      </c>
      <c r="H49" s="70">
        <f>H$48*s_Aeq_Feq!$B15</f>
        <v>0.30658987152220357</v>
      </c>
      <c r="I49" s="71">
        <f t="shared" si="61"/>
        <v>614.77656529191859</v>
      </c>
      <c r="J49" s="72">
        <f t="shared" si="62"/>
        <v>0.38498728159180812</v>
      </c>
      <c r="K49" s="71">
        <f>IFERROR(I49*up_isospec!$B15,".")</f>
        <v>3073.8828264595932</v>
      </c>
      <c r="L49" s="73">
        <f>IFERROR(J49*up_isospec!$C15,".")</f>
        <v>1.9249364079590405</v>
      </c>
      <c r="M49" s="74">
        <f t="shared" si="63"/>
        <v>3075.8077628675524</v>
      </c>
      <c r="N49" s="70">
        <f>N$48*s_Aeq_Feq!$B15</f>
        <v>3.625E-5</v>
      </c>
      <c r="O49" s="71">
        <f t="shared" si="64"/>
        <v>7.2688802083333337E-2</v>
      </c>
      <c r="P49" s="72">
        <f t="shared" si="65"/>
        <v>4.5519406392694056E-5</v>
      </c>
      <c r="Q49" s="71">
        <f>O49*up_isospec!$B15</f>
        <v>0.36344401041666669</v>
      </c>
      <c r="R49" s="73">
        <f>P49*up_isospec!$C15</f>
        <v>2.2759703196347029E-4</v>
      </c>
      <c r="S49" s="74">
        <f t="shared" si="66"/>
        <v>0.36367160744863014</v>
      </c>
      <c r="T49" s="70">
        <f>T$48*s_Aeq_Feq!$C15</f>
        <v>0.72499999999999998</v>
      </c>
      <c r="U49" s="71">
        <f>IFERROR(T49*s_EFw*s_EDw*s_ETw*(1/24)*s_IRAw,".")</f>
        <v>4984.3749999999991</v>
      </c>
      <c r="V49" s="72">
        <f>IFERROR(T49*s_EFw*(1/365)*s_EDw*s_ETw*(1/24)*s_GSFa,".")</f>
        <v>0.91038812785388123</v>
      </c>
      <c r="W49" s="71">
        <f>U49*up_isospec!$B15</f>
        <v>24921.874999999996</v>
      </c>
      <c r="X49" s="73">
        <f>V49*up_isospec!$C15</f>
        <v>4.5519406392694064</v>
      </c>
      <c r="Y49" s="74">
        <f t="shared" ref="Y49:Y60" si="70">SUM(W49:X49)</f>
        <v>24926.426940639267</v>
      </c>
      <c r="Z49" s="70">
        <f>Z$48*s_Aeq_Feq!$C15</f>
        <v>0.30658987152220357</v>
      </c>
      <c r="AA49" s="71">
        <f>IFERROR(Z49*s_EFw*s_EDw*s_ETw*(1/24)*s_IRAw,".")</f>
        <v>2107.8053667151498</v>
      </c>
      <c r="AB49" s="72">
        <f>IFERROR(Z49*s_EFw*(1/365)*s_EDw*s_ETw*(1/24)*s_GSFa,".")</f>
        <v>0.38498728159180812</v>
      </c>
      <c r="AC49" s="71">
        <f>IFERROR(AA49*up_isospec!$B15,".")</f>
        <v>10539.02683357575</v>
      </c>
      <c r="AD49" s="73">
        <f>IFERROR(AB49*up_isospec!$C15,".")</f>
        <v>1.9249364079590405</v>
      </c>
      <c r="AE49" s="74">
        <f t="shared" si="67"/>
        <v>10540.951769983709</v>
      </c>
      <c r="AF49" s="70">
        <f>AF$48*s_Aeq_Feq!$C15</f>
        <v>3.625E-5</v>
      </c>
      <c r="AG49" s="71">
        <f>IFERROR(AF49*s_EFw*s_EDw*s_ETw*(1/24)*s_IRAw,".")</f>
        <v>0.24921874999999993</v>
      </c>
      <c r="AH49" s="72">
        <f>IFERROR(AF49*s_EFw*(1/365)*s_EDw*s_ETw*(1/24)*s_GSFa,".")</f>
        <v>4.5519406392694056E-5</v>
      </c>
      <c r="AI49" s="71">
        <f>AG49*up_isospec!$B15</f>
        <v>1.2460937499999996</v>
      </c>
      <c r="AJ49" s="73">
        <f>AH49*up_isospec!$C15</f>
        <v>2.2759703196347029E-4</v>
      </c>
      <c r="AK49" s="74">
        <f t="shared" si="68"/>
        <v>1.246321347031963</v>
      </c>
    </row>
    <row r="50" spans="1:37" x14ac:dyDescent="0.25">
      <c r="A50" s="23" t="str">
        <f>up_isospec!A16</f>
        <v>Rn-222~Bi-210</v>
      </c>
      <c r="B50" s="70">
        <f>B$48*s_Aeq_Feq!$B16</f>
        <v>0</v>
      </c>
      <c r="C50" s="71">
        <f t="shared" si="59"/>
        <v>0</v>
      </c>
      <c r="D50" s="72">
        <f t="shared" si="60"/>
        <v>0</v>
      </c>
      <c r="E50" s="71">
        <f>C50*up_isospec!$B16</f>
        <v>0</v>
      </c>
      <c r="F50" s="73">
        <f>D50*up_isospec!$C16</f>
        <v>0</v>
      </c>
      <c r="G50" s="74">
        <f t="shared" si="69"/>
        <v>0</v>
      </c>
      <c r="H50" s="70">
        <f>H$48*s_Aeq_Feq!$B16</f>
        <v>0</v>
      </c>
      <c r="I50" s="71">
        <f t="shared" si="61"/>
        <v>0</v>
      </c>
      <c r="J50" s="72">
        <f t="shared" si="62"/>
        <v>0</v>
      </c>
      <c r="K50" s="71">
        <f>IFERROR(I50*up_isospec!$B16,".")</f>
        <v>0</v>
      </c>
      <c r="L50" s="73">
        <f>IFERROR(J50*up_isospec!$C16,".")</f>
        <v>0</v>
      </c>
      <c r="M50" s="74">
        <f t="shared" si="63"/>
        <v>0</v>
      </c>
      <c r="N50" s="70">
        <f>N$48*s_Aeq_Feq!$B16</f>
        <v>0</v>
      </c>
      <c r="O50" s="71">
        <f t="shared" si="64"/>
        <v>0</v>
      </c>
      <c r="P50" s="72">
        <f t="shared" si="65"/>
        <v>0</v>
      </c>
      <c r="Q50" s="71">
        <f>O50*up_isospec!$B16</f>
        <v>0</v>
      </c>
      <c r="R50" s="73">
        <f>P50*up_isospec!$C16</f>
        <v>0</v>
      </c>
      <c r="S50" s="74">
        <f t="shared" si="66"/>
        <v>0</v>
      </c>
      <c r="T50" s="70">
        <f>T$48*s_Aeq_Feq!$C16</f>
        <v>0</v>
      </c>
      <c r="U50" s="71">
        <f>IFERROR(T50*s_EFw*s_EDw*s_ETw*(1/24)*s_IRAw,".")</f>
        <v>0</v>
      </c>
      <c r="V50" s="72">
        <f>IFERROR(T50*s_EFw*(1/365)*s_EDw*s_ETw*(1/24)*s_GSFa,".")</f>
        <v>0</v>
      </c>
      <c r="W50" s="71">
        <f>U50*up_isospec!$B16</f>
        <v>0</v>
      </c>
      <c r="X50" s="73">
        <f>V50*up_isospec!$C16</f>
        <v>0</v>
      </c>
      <c r="Y50" s="74">
        <f t="shared" si="70"/>
        <v>0</v>
      </c>
      <c r="Z50" s="70">
        <f>Z$48*s_Aeq_Feq!$C16</f>
        <v>0</v>
      </c>
      <c r="AA50" s="71">
        <f>IFERROR(Z50*s_EFw*s_EDw*s_ETw*(1/24)*s_IRAw,".")</f>
        <v>0</v>
      </c>
      <c r="AB50" s="72">
        <f>IFERROR(Z50*s_EFw*(1/365)*s_EDw*s_ETw*(1/24)*s_GSFa,".")</f>
        <v>0</v>
      </c>
      <c r="AC50" s="71">
        <f>IFERROR(AA50*up_isospec!$B16,".")</f>
        <v>0</v>
      </c>
      <c r="AD50" s="73">
        <f>IFERROR(AB50*up_isospec!$C16,".")</f>
        <v>0</v>
      </c>
      <c r="AE50" s="74">
        <f t="shared" si="67"/>
        <v>0</v>
      </c>
      <c r="AF50" s="70">
        <f>AF$48*s_Aeq_Feq!$C16</f>
        <v>0</v>
      </c>
      <c r="AG50" s="71">
        <f>IFERROR(AF50*s_EFw*s_EDw*s_ETw*(1/24)*s_IRAw,".")</f>
        <v>0</v>
      </c>
      <c r="AH50" s="72">
        <f>IFERROR(AF50*s_EFw*(1/365)*s_EDw*s_ETw*(1/24)*s_GSFa,".")</f>
        <v>0</v>
      </c>
      <c r="AI50" s="71">
        <f>AG50*up_isospec!$B16</f>
        <v>0</v>
      </c>
      <c r="AJ50" s="73">
        <f>AH50*up_isospec!$C16</f>
        <v>0</v>
      </c>
      <c r="AK50" s="74">
        <f t="shared" si="68"/>
        <v>0</v>
      </c>
    </row>
    <row r="51" spans="1:37" x14ac:dyDescent="0.25">
      <c r="A51" s="23" t="str">
        <f>up_isospec!A17</f>
        <v>Rn-222~Bi-214</v>
      </c>
      <c r="B51" s="70">
        <f>B$48*s_Aeq_Feq!$B17</f>
        <v>254.5</v>
      </c>
      <c r="C51" s="71">
        <f t="shared" si="59"/>
        <v>510325.52083333331</v>
      </c>
      <c r="D51" s="72">
        <f t="shared" si="60"/>
        <v>319.57762557077626</v>
      </c>
      <c r="E51" s="71">
        <f>C51*up_isospec!$B17</f>
        <v>2551627.6041666665</v>
      </c>
      <c r="F51" s="73">
        <f>D51*up_isospec!$C17</f>
        <v>1597.8881278538813</v>
      </c>
      <c r="G51" s="74">
        <f t="shared" si="69"/>
        <v>2553225.4922945206</v>
      </c>
      <c r="H51" s="70">
        <f>H$48*s_Aeq_Feq!$B17</f>
        <v>107.6236169688287</v>
      </c>
      <c r="I51" s="71">
        <f t="shared" si="61"/>
        <v>215807.77360937005</v>
      </c>
      <c r="J51" s="72">
        <f t="shared" si="62"/>
        <v>135.14381126222781</v>
      </c>
      <c r="K51" s="71">
        <f>IFERROR(I51*up_isospec!$B17,".")</f>
        <v>1079038.8680468502</v>
      </c>
      <c r="L51" s="73">
        <f>IFERROR(J51*up_isospec!$C17,".")</f>
        <v>675.71905631113907</v>
      </c>
      <c r="M51" s="74">
        <f t="shared" si="63"/>
        <v>1079714.5871031613</v>
      </c>
      <c r="N51" s="70">
        <f>N$48*s_Aeq_Feq!$B17</f>
        <v>1.2725E-2</v>
      </c>
      <c r="O51" s="71">
        <f t="shared" si="64"/>
        <v>25.516276041666668</v>
      </c>
      <c r="P51" s="72">
        <f t="shared" si="65"/>
        <v>1.597888127853881E-2</v>
      </c>
      <c r="Q51" s="71">
        <f>O51*up_isospec!$B17</f>
        <v>127.58138020833334</v>
      </c>
      <c r="R51" s="73">
        <f>P51*up_isospec!$C17</f>
        <v>7.9894406392694045E-2</v>
      </c>
      <c r="S51" s="74">
        <f t="shared" si="66"/>
        <v>127.66127461472604</v>
      </c>
      <c r="T51" s="70">
        <f>T$48*s_Aeq_Feq!$C17</f>
        <v>254.5</v>
      </c>
      <c r="U51" s="71">
        <f>IFERROR(T51*s_EFw*s_EDw*s_ETw*(1/24)*s_IRAw,".")</f>
        <v>1749687.5</v>
      </c>
      <c r="V51" s="72">
        <f>IFERROR(T51*s_EFw*(1/365)*s_EDw*s_ETw*(1/24)*s_GSFa,".")</f>
        <v>319.57762557077626</v>
      </c>
      <c r="W51" s="71">
        <f>U51*up_isospec!$B17</f>
        <v>8748437.5</v>
      </c>
      <c r="X51" s="73">
        <f>V51*up_isospec!$C17</f>
        <v>1597.8881278538813</v>
      </c>
      <c r="Y51" s="74">
        <f t="shared" si="70"/>
        <v>8750035.3881278541</v>
      </c>
      <c r="Z51" s="70">
        <f>Z$48*s_Aeq_Feq!$C17</f>
        <v>107.6236169688287</v>
      </c>
      <c r="AA51" s="71">
        <f>IFERROR(Z51*s_EFw*s_EDw*s_ETw*(1/24)*s_IRAw,".")</f>
        <v>739912.36666069727</v>
      </c>
      <c r="AB51" s="72">
        <f>IFERROR(Z51*s_EFw*(1/365)*s_EDw*s_ETw*(1/24)*s_GSFa,".")</f>
        <v>135.14381126222781</v>
      </c>
      <c r="AC51" s="71">
        <f>IFERROR(AA51*up_isospec!$B17,".")</f>
        <v>3699561.8333034865</v>
      </c>
      <c r="AD51" s="73">
        <f>IFERROR(AB51*up_isospec!$C17,".")</f>
        <v>675.71905631113907</v>
      </c>
      <c r="AE51" s="74">
        <f t="shared" si="67"/>
        <v>3700237.5523597975</v>
      </c>
      <c r="AF51" s="70">
        <f>AF$48*s_Aeq_Feq!$C17</f>
        <v>1.2725E-2</v>
      </c>
      <c r="AG51" s="71">
        <f>IFERROR(AF51*s_EFw*s_EDw*s_ETw*(1/24)*s_IRAw,".")</f>
        <v>87.484375</v>
      </c>
      <c r="AH51" s="72">
        <f>IFERROR(AF51*s_EFw*(1/365)*s_EDw*s_ETw*(1/24)*s_GSFa,".")</f>
        <v>1.597888127853881E-2</v>
      </c>
      <c r="AI51" s="71">
        <f>AG51*up_isospec!$B17</f>
        <v>437.421875</v>
      </c>
      <c r="AJ51" s="73">
        <f>AH51*up_isospec!$C17</f>
        <v>7.9894406392694045E-2</v>
      </c>
      <c r="AK51" s="74">
        <f t="shared" si="68"/>
        <v>437.50176940639267</v>
      </c>
    </row>
    <row r="52" spans="1:37" x14ac:dyDescent="0.25">
      <c r="A52" s="23" t="str">
        <f>up_isospec!A18</f>
        <v>Rn-222~Hg-206</v>
      </c>
      <c r="B52" s="70">
        <f>B$48*s_Aeq_Feq!$B18</f>
        <v>0</v>
      </c>
      <c r="C52" s="71">
        <f t="shared" si="59"/>
        <v>0</v>
      </c>
      <c r="D52" s="72">
        <f t="shared" si="60"/>
        <v>0</v>
      </c>
      <c r="E52" s="71">
        <f>C52*up_isospec!$B18</f>
        <v>0</v>
      </c>
      <c r="F52" s="73">
        <f>D52*up_isospec!$C18</f>
        <v>0</v>
      </c>
      <c r="G52" s="74">
        <f t="shared" si="69"/>
        <v>0</v>
      </c>
      <c r="H52" s="70">
        <f>H$48*s_Aeq_Feq!$B18</f>
        <v>0</v>
      </c>
      <c r="I52" s="71">
        <f t="shared" si="61"/>
        <v>0</v>
      </c>
      <c r="J52" s="72">
        <f t="shared" si="62"/>
        <v>0</v>
      </c>
      <c r="K52" s="71">
        <f>IFERROR(I52*up_isospec!$B18,".")</f>
        <v>0</v>
      </c>
      <c r="L52" s="73">
        <f>IFERROR(J52*up_isospec!$C18,".")</f>
        <v>0</v>
      </c>
      <c r="M52" s="74">
        <f t="shared" si="63"/>
        <v>0</v>
      </c>
      <c r="N52" s="70">
        <f>N$48*s_Aeq_Feq!$B18</f>
        <v>0</v>
      </c>
      <c r="O52" s="71">
        <f t="shared" si="64"/>
        <v>0</v>
      </c>
      <c r="P52" s="72">
        <f t="shared" si="65"/>
        <v>0</v>
      </c>
      <c r="Q52" s="71">
        <f>O52*up_isospec!$B18</f>
        <v>0</v>
      </c>
      <c r="R52" s="73">
        <f>P52*up_isospec!$C18</f>
        <v>0</v>
      </c>
      <c r="S52" s="74">
        <f t="shared" si="66"/>
        <v>0</v>
      </c>
      <c r="T52" s="70">
        <f>T$48*s_Aeq_Feq!$C18</f>
        <v>0</v>
      </c>
      <c r="U52" s="71">
        <f>IFERROR(T52*s_EFw*s_EDw*s_ETw*(1/24)*s_IRAw,".")</f>
        <v>0</v>
      </c>
      <c r="V52" s="72">
        <f>IFERROR(T52*s_EFw*(1/365)*s_EDw*s_ETw*(1/24)*s_GSFa,".")</f>
        <v>0</v>
      </c>
      <c r="W52" s="71">
        <f>U52*up_isospec!$B18</f>
        <v>0</v>
      </c>
      <c r="X52" s="73">
        <f>V52*up_isospec!$C18</f>
        <v>0</v>
      </c>
      <c r="Y52" s="74">
        <f t="shared" si="70"/>
        <v>0</v>
      </c>
      <c r="Z52" s="70">
        <f>Z$48*s_Aeq_Feq!$C18</f>
        <v>0</v>
      </c>
      <c r="AA52" s="71">
        <f>IFERROR(Z52*s_EFw*s_EDw*s_ETw*(1/24)*s_IRAw,".")</f>
        <v>0</v>
      </c>
      <c r="AB52" s="72">
        <f>IFERROR(Z52*s_EFw*(1/365)*s_EDw*s_ETw*(1/24)*s_GSFa,".")</f>
        <v>0</v>
      </c>
      <c r="AC52" s="71">
        <f>IFERROR(AA52*up_isospec!$B18,".")</f>
        <v>0</v>
      </c>
      <c r="AD52" s="73">
        <f>IFERROR(AB52*up_isospec!$C18,".")</f>
        <v>0</v>
      </c>
      <c r="AE52" s="74">
        <f t="shared" si="67"/>
        <v>0</v>
      </c>
      <c r="AF52" s="70">
        <f>AF$48*s_Aeq_Feq!$C18</f>
        <v>0</v>
      </c>
      <c r="AG52" s="71">
        <f>IFERROR(AF52*s_EFw*s_EDw*s_ETw*(1/24)*s_IRAw,".")</f>
        <v>0</v>
      </c>
      <c r="AH52" s="72">
        <f>IFERROR(AF52*s_EFw*(1/365)*s_EDw*s_ETw*(1/24)*s_GSFa,".")</f>
        <v>0</v>
      </c>
      <c r="AI52" s="71">
        <f>AG52*up_isospec!$B18</f>
        <v>0</v>
      </c>
      <c r="AJ52" s="73">
        <f>AH52*up_isospec!$C18</f>
        <v>0</v>
      </c>
      <c r="AK52" s="74">
        <f t="shared" si="68"/>
        <v>0</v>
      </c>
    </row>
    <row r="53" spans="1:37" x14ac:dyDescent="0.25">
      <c r="A53" s="23" t="str">
        <f>up_isospec!A19</f>
        <v>Rn-222~Pb-210</v>
      </c>
      <c r="B53" s="70">
        <f>B$48*s_Aeq_Feq!$B19</f>
        <v>0</v>
      </c>
      <c r="C53" s="71">
        <f t="shared" si="59"/>
        <v>0</v>
      </c>
      <c r="D53" s="72">
        <f t="shared" si="60"/>
        <v>0</v>
      </c>
      <c r="E53" s="71">
        <f>C53*up_isospec!$B19</f>
        <v>0</v>
      </c>
      <c r="F53" s="73">
        <f>D53*up_isospec!$C19</f>
        <v>0</v>
      </c>
      <c r="G53" s="74">
        <f t="shared" si="69"/>
        <v>0</v>
      </c>
      <c r="H53" s="70">
        <f>H$48*s_Aeq_Feq!$B19</f>
        <v>0</v>
      </c>
      <c r="I53" s="71">
        <f t="shared" si="61"/>
        <v>0</v>
      </c>
      <c r="J53" s="72">
        <f t="shared" si="62"/>
        <v>0</v>
      </c>
      <c r="K53" s="71">
        <f>IFERROR(I53*up_isospec!$B19,".")</f>
        <v>0</v>
      </c>
      <c r="L53" s="73">
        <f>IFERROR(J53*up_isospec!$C19,".")</f>
        <v>0</v>
      </c>
      <c r="M53" s="74">
        <f t="shared" si="63"/>
        <v>0</v>
      </c>
      <c r="N53" s="70">
        <f>N$48*s_Aeq_Feq!$B19</f>
        <v>0</v>
      </c>
      <c r="O53" s="71">
        <f t="shared" si="64"/>
        <v>0</v>
      </c>
      <c r="P53" s="72">
        <f t="shared" si="65"/>
        <v>0</v>
      </c>
      <c r="Q53" s="71">
        <f>O53*up_isospec!$B19</f>
        <v>0</v>
      </c>
      <c r="R53" s="73">
        <f>P53*up_isospec!$C19</f>
        <v>0</v>
      </c>
      <c r="S53" s="74">
        <f t="shared" si="66"/>
        <v>0</v>
      </c>
      <c r="T53" s="70">
        <f>T$48*s_Aeq_Feq!$C19</f>
        <v>0</v>
      </c>
      <c r="U53" s="71">
        <f>IFERROR(T53*s_EFw*s_EDw*s_ETw*(1/24)*s_IRAw,".")</f>
        <v>0</v>
      </c>
      <c r="V53" s="72">
        <f>IFERROR(T53*s_EFw*(1/365)*s_EDw*s_ETw*(1/24)*s_GSFa,".")</f>
        <v>0</v>
      </c>
      <c r="W53" s="71">
        <f>U53*up_isospec!$B19</f>
        <v>0</v>
      </c>
      <c r="X53" s="73">
        <f>V53*up_isospec!$C19</f>
        <v>0</v>
      </c>
      <c r="Y53" s="74">
        <f t="shared" si="70"/>
        <v>0</v>
      </c>
      <c r="Z53" s="70">
        <f>Z$48*s_Aeq_Feq!$C19</f>
        <v>0</v>
      </c>
      <c r="AA53" s="71">
        <f>IFERROR(Z53*s_EFw*s_EDw*s_ETw*(1/24)*s_IRAw,".")</f>
        <v>0</v>
      </c>
      <c r="AB53" s="72">
        <f>IFERROR(Z53*s_EFw*(1/365)*s_EDw*s_ETw*(1/24)*s_GSFa,".")</f>
        <v>0</v>
      </c>
      <c r="AC53" s="71">
        <f>IFERROR(AA53*up_isospec!$B19,".")</f>
        <v>0</v>
      </c>
      <c r="AD53" s="73">
        <f>IFERROR(AB53*up_isospec!$C19,".")</f>
        <v>0</v>
      </c>
      <c r="AE53" s="74">
        <f t="shared" si="67"/>
        <v>0</v>
      </c>
      <c r="AF53" s="70">
        <f>AF$48*s_Aeq_Feq!$C19</f>
        <v>0</v>
      </c>
      <c r="AG53" s="71">
        <f>IFERROR(AF53*s_EFw*s_EDw*s_ETw*(1/24)*s_IRAw,".")</f>
        <v>0</v>
      </c>
      <c r="AH53" s="72">
        <f>IFERROR(AF53*s_EFw*(1/365)*s_EDw*s_ETw*(1/24)*s_GSFa,".")</f>
        <v>0</v>
      </c>
      <c r="AI53" s="71">
        <f>AG53*up_isospec!$B19</f>
        <v>0</v>
      </c>
      <c r="AJ53" s="73">
        <f>AH53*up_isospec!$C19</f>
        <v>0</v>
      </c>
      <c r="AK53" s="74">
        <f t="shared" si="68"/>
        <v>0</v>
      </c>
    </row>
    <row r="54" spans="1:37" x14ac:dyDescent="0.25">
      <c r="A54" s="23" t="str">
        <f>up_isospec!A20</f>
        <v>Rn-222~Pb-214</v>
      </c>
      <c r="B54" s="70">
        <f>B$48*s_Aeq_Feq!$B20</f>
        <v>864.99999999999989</v>
      </c>
      <c r="C54" s="71">
        <f t="shared" si="59"/>
        <v>1734505.208333333</v>
      </c>
      <c r="D54" s="72">
        <f t="shared" si="60"/>
        <v>1086.1872146118722</v>
      </c>
      <c r="E54" s="71">
        <f>C54*up_isospec!$B20</f>
        <v>8672526.0416666642</v>
      </c>
      <c r="F54" s="73">
        <f>D54*up_isospec!$C20</f>
        <v>5430.9360730593608</v>
      </c>
      <c r="G54" s="74">
        <f t="shared" si="69"/>
        <v>8677956.9777397234</v>
      </c>
      <c r="H54" s="70">
        <f>H$48*s_Aeq_Feq!$B20</f>
        <v>365.79343291959458</v>
      </c>
      <c r="I54" s="71">
        <f t="shared" si="61"/>
        <v>733492.03996897873</v>
      </c>
      <c r="J54" s="72">
        <f t="shared" si="62"/>
        <v>459.32965320953656</v>
      </c>
      <c r="K54" s="71">
        <f>IFERROR(I54*up_isospec!$B20,".")</f>
        <v>3667460.1998448935</v>
      </c>
      <c r="L54" s="73">
        <f>IFERROR(J54*up_isospec!$C20,".")</f>
        <v>2296.6482660476827</v>
      </c>
      <c r="M54" s="74">
        <f t="shared" si="63"/>
        <v>3669756.8481109412</v>
      </c>
      <c r="N54" s="70">
        <f>N$48*s_Aeq_Feq!$B20</f>
        <v>4.3249999999999997E-2</v>
      </c>
      <c r="O54" s="71">
        <f t="shared" si="64"/>
        <v>86.725260416666657</v>
      </c>
      <c r="P54" s="72">
        <f t="shared" si="65"/>
        <v>5.43093607305936E-2</v>
      </c>
      <c r="Q54" s="71">
        <f>O54*up_isospec!$B20</f>
        <v>433.62630208333326</v>
      </c>
      <c r="R54" s="73">
        <f>P54*up_isospec!$C20</f>
        <v>0.27154680365296802</v>
      </c>
      <c r="S54" s="74">
        <f t="shared" si="66"/>
        <v>433.89784888698625</v>
      </c>
      <c r="T54" s="70">
        <f>T$48*s_Aeq_Feq!$C20</f>
        <v>864.99999999999989</v>
      </c>
      <c r="U54" s="71">
        <f>IFERROR(T54*s_EFw*s_EDw*s_ETw*(1/24)*s_IRAw,".")</f>
        <v>5946874.9999999991</v>
      </c>
      <c r="V54" s="72">
        <f>IFERROR(T54*s_EFw*(1/365)*s_EDw*s_ETw*(1/24)*s_GSFa,".")</f>
        <v>1086.1872146118722</v>
      </c>
      <c r="W54" s="71">
        <f>U54*up_isospec!$B20</f>
        <v>29734374.999999996</v>
      </c>
      <c r="X54" s="73">
        <f>V54*up_isospec!$C20</f>
        <v>5430.9360730593608</v>
      </c>
      <c r="Y54" s="74">
        <f t="shared" si="70"/>
        <v>29739805.936073057</v>
      </c>
      <c r="Z54" s="70">
        <f>Z$48*s_Aeq_Feq!$C20</f>
        <v>365.79343291959458</v>
      </c>
      <c r="AA54" s="71">
        <f>IFERROR(Z54*s_EFw*s_EDw*s_ETw*(1/24)*s_IRAw,".")</f>
        <v>2514829.8513222123</v>
      </c>
      <c r="AB54" s="72">
        <f>IFERROR(Z54*s_EFw*(1/365)*s_EDw*s_ETw*(1/24)*s_GSFa,".")</f>
        <v>459.32965320953656</v>
      </c>
      <c r="AC54" s="71">
        <f>IFERROR(AA54*up_isospec!$B20,".")</f>
        <v>12574149.25661106</v>
      </c>
      <c r="AD54" s="73">
        <f>IFERROR(AB54*up_isospec!$C20,".")</f>
        <v>2296.6482660476827</v>
      </c>
      <c r="AE54" s="74">
        <f t="shared" si="67"/>
        <v>12576445.904877108</v>
      </c>
      <c r="AF54" s="70">
        <f>AF$48*s_Aeq_Feq!$C20</f>
        <v>4.3249999999999997E-2</v>
      </c>
      <c r="AG54" s="71">
        <f>IFERROR(AF54*s_EFw*s_EDw*s_ETw*(1/24)*s_IRAw,".")</f>
        <v>297.34374999999994</v>
      </c>
      <c r="AH54" s="72">
        <f>IFERROR(AF54*s_EFw*(1/365)*s_EDw*s_ETw*(1/24)*s_GSFa,".")</f>
        <v>5.43093607305936E-2</v>
      </c>
      <c r="AI54" s="71">
        <f>AG54*up_isospec!$B20</f>
        <v>1486.7187499999998</v>
      </c>
      <c r="AJ54" s="73">
        <f>AH54*up_isospec!$C20</f>
        <v>0.27154680365296802</v>
      </c>
      <c r="AK54" s="74">
        <f t="shared" si="68"/>
        <v>1486.9902968036527</v>
      </c>
    </row>
    <row r="55" spans="1:37" x14ac:dyDescent="0.25">
      <c r="A55" s="23" t="str">
        <f>up_isospec!A21</f>
        <v>Rn-222~Po-210</v>
      </c>
      <c r="B55" s="70">
        <f>B$48*s_Aeq_Feq!$B21</f>
        <v>0</v>
      </c>
      <c r="C55" s="71">
        <f t="shared" si="59"/>
        <v>0</v>
      </c>
      <c r="D55" s="72">
        <f t="shared" si="60"/>
        <v>0</v>
      </c>
      <c r="E55" s="71">
        <f>C55*up_isospec!$B21</f>
        <v>0</v>
      </c>
      <c r="F55" s="73">
        <f>D55*up_isospec!$C21</f>
        <v>0</v>
      </c>
      <c r="G55" s="74">
        <f t="shared" si="69"/>
        <v>0</v>
      </c>
      <c r="H55" s="70">
        <f>H$48*s_Aeq_Feq!$B21</f>
        <v>0</v>
      </c>
      <c r="I55" s="71">
        <f t="shared" si="61"/>
        <v>0</v>
      </c>
      <c r="J55" s="72">
        <f t="shared" si="62"/>
        <v>0</v>
      </c>
      <c r="K55" s="71">
        <f>IFERROR(I55*up_isospec!$B21,".")</f>
        <v>0</v>
      </c>
      <c r="L55" s="73">
        <f>IFERROR(J55*up_isospec!$C21,".")</f>
        <v>0</v>
      </c>
      <c r="M55" s="74">
        <f t="shared" si="63"/>
        <v>0</v>
      </c>
      <c r="N55" s="70">
        <f>N$48*s_Aeq_Feq!$B21</f>
        <v>0</v>
      </c>
      <c r="O55" s="71">
        <f t="shared" si="64"/>
        <v>0</v>
      </c>
      <c r="P55" s="72">
        <f t="shared" si="65"/>
        <v>0</v>
      </c>
      <c r="Q55" s="71">
        <f>O55*up_isospec!$B21</f>
        <v>0</v>
      </c>
      <c r="R55" s="73">
        <f>P55*up_isospec!$C21</f>
        <v>0</v>
      </c>
      <c r="S55" s="74">
        <f t="shared" si="66"/>
        <v>0</v>
      </c>
      <c r="T55" s="70">
        <f>T$48*s_Aeq_Feq!$C21</f>
        <v>0</v>
      </c>
      <c r="U55" s="71">
        <f>IFERROR(T55*s_EFw*s_EDw*s_ETw*(1/24)*s_IRAw,".")</f>
        <v>0</v>
      </c>
      <c r="V55" s="72">
        <f>IFERROR(T55*s_EFw*(1/365)*s_EDw*s_ETw*(1/24)*s_GSFa,".")</f>
        <v>0</v>
      </c>
      <c r="W55" s="71">
        <f>U55*up_isospec!$B21</f>
        <v>0</v>
      </c>
      <c r="X55" s="73">
        <f>V55*up_isospec!$C21</f>
        <v>0</v>
      </c>
      <c r="Y55" s="74">
        <f t="shared" si="70"/>
        <v>0</v>
      </c>
      <c r="Z55" s="70">
        <f>Z$48*s_Aeq_Feq!$C21</f>
        <v>0</v>
      </c>
      <c r="AA55" s="71">
        <f>IFERROR(Z55*s_EFw*s_EDw*s_ETw*(1/24)*s_IRAw,".")</f>
        <v>0</v>
      </c>
      <c r="AB55" s="72">
        <f>IFERROR(Z55*s_EFw*(1/365)*s_EDw*s_ETw*(1/24)*s_GSFa,".")</f>
        <v>0</v>
      </c>
      <c r="AC55" s="71">
        <f>IFERROR(AA55*up_isospec!$B21,".")</f>
        <v>0</v>
      </c>
      <c r="AD55" s="73">
        <f>IFERROR(AB55*up_isospec!$C21,".")</f>
        <v>0</v>
      </c>
      <c r="AE55" s="74">
        <f t="shared" si="67"/>
        <v>0</v>
      </c>
      <c r="AF55" s="70">
        <f>AF$48*s_Aeq_Feq!$C21</f>
        <v>0</v>
      </c>
      <c r="AG55" s="71">
        <f>IFERROR(AF55*s_EFw*s_EDw*s_ETw*(1/24)*s_IRAw,".")</f>
        <v>0</v>
      </c>
      <c r="AH55" s="72">
        <f>IFERROR(AF55*s_EFw*(1/365)*s_EDw*s_ETw*(1/24)*s_GSFa,".")</f>
        <v>0</v>
      </c>
      <c r="AI55" s="71">
        <f>AG55*up_isospec!$B21</f>
        <v>0</v>
      </c>
      <c r="AJ55" s="73">
        <f>AH55*up_isospec!$C21</f>
        <v>0</v>
      </c>
      <c r="AK55" s="74">
        <f t="shared" si="68"/>
        <v>0</v>
      </c>
    </row>
    <row r="56" spans="1:37" x14ac:dyDescent="0.25">
      <c r="A56" s="23" t="str">
        <f>up_isospec!A22</f>
        <v>Rn-222~Po-214</v>
      </c>
      <c r="B56" s="70">
        <f>B$48*s_Aeq_Feq!$B22</f>
        <v>254.5</v>
      </c>
      <c r="C56" s="71">
        <f t="shared" si="59"/>
        <v>510325.52083333331</v>
      </c>
      <c r="D56" s="72">
        <f t="shared" si="60"/>
        <v>319.57762557077626</v>
      </c>
      <c r="E56" s="71">
        <f>C56*up_isospec!$B22</f>
        <v>2551627.6041666665</v>
      </c>
      <c r="F56" s="73">
        <f>D56*up_isospec!$C22</f>
        <v>1597.8881278538813</v>
      </c>
      <c r="G56" s="74">
        <f t="shared" si="69"/>
        <v>2553225.4922945206</v>
      </c>
      <c r="H56" s="70">
        <f>H$48*s_Aeq_Feq!$B22</f>
        <v>107.6236169688287</v>
      </c>
      <c r="I56" s="71">
        <f t="shared" si="61"/>
        <v>215807.77360937005</v>
      </c>
      <c r="J56" s="72">
        <f t="shared" si="62"/>
        <v>135.14381126222781</v>
      </c>
      <c r="K56" s="71">
        <f>IFERROR(I56*up_isospec!$B22,".")</f>
        <v>1079038.8680468502</v>
      </c>
      <c r="L56" s="73">
        <f>IFERROR(J56*up_isospec!$C22,".")</f>
        <v>675.71905631113907</v>
      </c>
      <c r="M56" s="74">
        <f t="shared" si="63"/>
        <v>1079714.5871031613</v>
      </c>
      <c r="N56" s="70">
        <f>N$48*s_Aeq_Feq!$B22</f>
        <v>1.2725E-2</v>
      </c>
      <c r="O56" s="71">
        <f t="shared" si="64"/>
        <v>25.516276041666668</v>
      </c>
      <c r="P56" s="72">
        <f t="shared" si="65"/>
        <v>1.597888127853881E-2</v>
      </c>
      <c r="Q56" s="71">
        <f>O56*up_isospec!$B22</f>
        <v>127.58138020833334</v>
      </c>
      <c r="R56" s="73">
        <f>P56*up_isospec!$C22</f>
        <v>7.9894406392694045E-2</v>
      </c>
      <c r="S56" s="74">
        <f t="shared" si="66"/>
        <v>127.66127461472604</v>
      </c>
      <c r="T56" s="70">
        <f>T$48*s_Aeq_Feq!$C22</f>
        <v>254.5</v>
      </c>
      <c r="U56" s="71">
        <f>IFERROR(T56*s_EFw*s_EDw*s_ETw*(1/24)*s_IRAw,".")</f>
        <v>1749687.5</v>
      </c>
      <c r="V56" s="72">
        <f>IFERROR(T56*s_EFw*(1/365)*s_EDw*s_ETw*(1/24)*s_GSFa,".")</f>
        <v>319.57762557077626</v>
      </c>
      <c r="W56" s="71">
        <f>U56*up_isospec!$B22</f>
        <v>8748437.5</v>
      </c>
      <c r="X56" s="73">
        <f>V56*up_isospec!$C22</f>
        <v>1597.8881278538813</v>
      </c>
      <c r="Y56" s="74">
        <f t="shared" si="70"/>
        <v>8750035.3881278541</v>
      </c>
      <c r="Z56" s="70">
        <f>Z$48*s_Aeq_Feq!$C22</f>
        <v>107.6236169688287</v>
      </c>
      <c r="AA56" s="71">
        <f>IFERROR(Z56*s_EFw*s_EDw*s_ETw*(1/24)*s_IRAw,".")</f>
        <v>739912.36666069727</v>
      </c>
      <c r="AB56" s="72">
        <f>IFERROR(Z56*s_EFw*(1/365)*s_EDw*s_ETw*(1/24)*s_GSFa,".")</f>
        <v>135.14381126222781</v>
      </c>
      <c r="AC56" s="71">
        <f>IFERROR(AA56*up_isospec!$B22,".")</f>
        <v>3699561.8333034865</v>
      </c>
      <c r="AD56" s="73">
        <f>IFERROR(AB56*up_isospec!$C22,".")</f>
        <v>675.71905631113907</v>
      </c>
      <c r="AE56" s="74">
        <f t="shared" si="67"/>
        <v>3700237.5523597975</v>
      </c>
      <c r="AF56" s="70">
        <f>AF$48*s_Aeq_Feq!$C22</f>
        <v>1.2725E-2</v>
      </c>
      <c r="AG56" s="71">
        <f>IFERROR(AF56*s_EFw*s_EDw*s_ETw*(1/24)*s_IRAw,".")</f>
        <v>87.484375</v>
      </c>
      <c r="AH56" s="72">
        <f>IFERROR(AF56*s_EFw*(1/365)*s_EDw*s_ETw*(1/24)*s_GSFa,".")</f>
        <v>1.597888127853881E-2</v>
      </c>
      <c r="AI56" s="71">
        <f>AG56*up_isospec!$B22</f>
        <v>437.421875</v>
      </c>
      <c r="AJ56" s="73">
        <f>AH56*up_isospec!$C22</f>
        <v>7.9894406392694045E-2</v>
      </c>
      <c r="AK56" s="74">
        <f t="shared" si="68"/>
        <v>437.50176940639267</v>
      </c>
    </row>
    <row r="57" spans="1:37" x14ac:dyDescent="0.25">
      <c r="A57" s="23" t="str">
        <f>up_isospec!A23</f>
        <v>Rn-222~Po-218</v>
      </c>
      <c r="B57" s="70">
        <f>B$48*s_Aeq_Feq!$B23</f>
        <v>3640</v>
      </c>
      <c r="C57" s="71">
        <f t="shared" si="59"/>
        <v>7298958.333333333</v>
      </c>
      <c r="D57" s="72">
        <f t="shared" si="60"/>
        <v>4570.7762557077622</v>
      </c>
      <c r="E57" s="71">
        <f>C57*up_isospec!$B23</f>
        <v>36494791.666666664</v>
      </c>
      <c r="F57" s="73">
        <f>D57*up_isospec!$C23</f>
        <v>22853.881278538811</v>
      </c>
      <c r="G57" s="74">
        <f t="shared" si="69"/>
        <v>36517645.547945201</v>
      </c>
      <c r="H57" s="70">
        <f>H$48*s_Aeq_Feq!$B23</f>
        <v>1539.2925963321668</v>
      </c>
      <c r="I57" s="71">
        <f t="shared" si="61"/>
        <v>3086602.3416035636</v>
      </c>
      <c r="J57" s="72">
        <f t="shared" si="62"/>
        <v>1932.90166206094</v>
      </c>
      <c r="K57" s="71">
        <f>IFERROR(I57*up_isospec!$B23,".")</f>
        <v>15433011.708017819</v>
      </c>
      <c r="L57" s="73">
        <f>IFERROR(J57*up_isospec!$C23,".")</f>
        <v>9664.5083103047</v>
      </c>
      <c r="M57" s="74">
        <f t="shared" si="63"/>
        <v>15442676.216328124</v>
      </c>
      <c r="N57" s="70">
        <f>N$48*s_Aeq_Feq!$B23</f>
        <v>0.182</v>
      </c>
      <c r="O57" s="71">
        <f t="shared" si="64"/>
        <v>364.94791666666663</v>
      </c>
      <c r="P57" s="72">
        <f t="shared" si="65"/>
        <v>0.22853881278538815</v>
      </c>
      <c r="Q57" s="71">
        <f>O57*up_isospec!$B23</f>
        <v>1824.739583333333</v>
      </c>
      <c r="R57" s="73">
        <f>P57*up_isospec!$C23</f>
        <v>1.1426940639269407</v>
      </c>
      <c r="S57" s="74">
        <f t="shared" si="66"/>
        <v>1825.8822773972599</v>
      </c>
      <c r="T57" s="70">
        <f>T$48*s_Aeq_Feq!$C23</f>
        <v>3640</v>
      </c>
      <c r="U57" s="71">
        <f>IFERROR(T57*s_EFw*s_EDw*s_ETw*(1/24)*s_IRAw,".")</f>
        <v>25025000</v>
      </c>
      <c r="V57" s="72">
        <f>IFERROR(T57*s_EFw*(1/365)*s_EDw*s_ETw*(1/24)*s_GSFa,".")</f>
        <v>4570.7762557077622</v>
      </c>
      <c r="W57" s="71">
        <f>U57*up_isospec!$B23</f>
        <v>125125000</v>
      </c>
      <c r="X57" s="73">
        <f>V57*up_isospec!$C23</f>
        <v>22853.881278538811</v>
      </c>
      <c r="Y57" s="74">
        <f t="shared" si="70"/>
        <v>125147853.88127854</v>
      </c>
      <c r="Z57" s="70">
        <f>Z$48*s_Aeq_Feq!$C23</f>
        <v>1539.2925963321668</v>
      </c>
      <c r="AA57" s="71">
        <f>IFERROR(Z57*s_EFw*s_EDw*s_ETw*(1/24)*s_IRAw,".")</f>
        <v>10582636.599783648</v>
      </c>
      <c r="AB57" s="72">
        <f>IFERROR(Z57*s_EFw*(1/365)*s_EDw*s_ETw*(1/24)*s_GSFa,".")</f>
        <v>1932.90166206094</v>
      </c>
      <c r="AC57" s="71">
        <f>IFERROR(AA57*up_isospec!$B23,".")</f>
        <v>52913182.998918235</v>
      </c>
      <c r="AD57" s="73">
        <f>IFERROR(AB57*up_isospec!$C23,".")</f>
        <v>9664.5083103047</v>
      </c>
      <c r="AE57" s="74">
        <f t="shared" si="67"/>
        <v>52922847.507228538</v>
      </c>
      <c r="AF57" s="70">
        <f>AF$48*s_Aeq_Feq!$C23</f>
        <v>0.182</v>
      </c>
      <c r="AG57" s="71">
        <f>IFERROR(AF57*s_EFw*s_EDw*s_ETw*(1/24)*s_IRAw,".")</f>
        <v>1251.2499999999998</v>
      </c>
      <c r="AH57" s="72">
        <f>IFERROR(AF57*s_EFw*(1/365)*s_EDw*s_ETw*(1/24)*s_GSFa,".")</f>
        <v>0.22853881278538815</v>
      </c>
      <c r="AI57" s="71">
        <f>AG57*up_isospec!$B23</f>
        <v>6256.2499999999991</v>
      </c>
      <c r="AJ57" s="73">
        <f>AH57*up_isospec!$C23</f>
        <v>1.1426940639269407</v>
      </c>
      <c r="AK57" s="74">
        <f t="shared" si="68"/>
        <v>6257.3926940639258</v>
      </c>
    </row>
    <row r="58" spans="1:37" x14ac:dyDescent="0.25">
      <c r="A58" s="23" t="str">
        <f>up_isospec!A24</f>
        <v>Rn-222~Rn-218</v>
      </c>
      <c r="B58" s="70">
        <f>B$48*s_Aeq_Feq!$B24</f>
        <v>7.2499999999999995E-4</v>
      </c>
      <c r="C58" s="71">
        <f t="shared" si="59"/>
        <v>1.4537760416666665</v>
      </c>
      <c r="D58" s="72">
        <f t="shared" si="60"/>
        <v>9.1038812785388095E-4</v>
      </c>
      <c r="E58" s="71">
        <f>C58*up_isospec!$B24</f>
        <v>7.2688802083333321</v>
      </c>
      <c r="F58" s="73">
        <f>D58*up_isospec!$C24</f>
        <v>4.5519406392694048E-3</v>
      </c>
      <c r="G58" s="74">
        <f t="shared" si="69"/>
        <v>7.2734321489726019</v>
      </c>
      <c r="H58" s="70">
        <f>H$48*s_Aeq_Feq!$B24</f>
        <v>3.0658987152220354E-4</v>
      </c>
      <c r="I58" s="71">
        <f t="shared" si="61"/>
        <v>0.61477656529191849</v>
      </c>
      <c r="J58" s="72">
        <f t="shared" si="62"/>
        <v>3.8498728159180813E-4</v>
      </c>
      <c r="K58" s="71">
        <f>IFERROR(I58*up_isospec!$B24,".")</f>
        <v>3.0738828264595925</v>
      </c>
      <c r="L58" s="73">
        <f>IFERROR(J58*up_isospec!$C24,".")</f>
        <v>1.9249364079590406E-3</v>
      </c>
      <c r="M58" s="74">
        <f t="shared" si="63"/>
        <v>3.0758077628675515</v>
      </c>
      <c r="N58" s="70">
        <f>N$48*s_Aeq_Feq!$B24</f>
        <v>3.6249999999999997E-8</v>
      </c>
      <c r="O58" s="71">
        <f t="shared" si="64"/>
        <v>7.2688802083333324E-5</v>
      </c>
      <c r="P58" s="72">
        <f t="shared" si="65"/>
        <v>4.5519406392694059E-8</v>
      </c>
      <c r="Q58" s="71">
        <f>O58*up_isospec!$B24</f>
        <v>3.6344401041666665E-4</v>
      </c>
      <c r="R58" s="73">
        <f>P58*up_isospec!$C24</f>
        <v>2.2759703196347031E-7</v>
      </c>
      <c r="S58" s="74">
        <f t="shared" si="66"/>
        <v>3.6367160744863011E-4</v>
      </c>
      <c r="T58" s="70">
        <f>T$48*s_Aeq_Feq!$C24</f>
        <v>7.2499999999999995E-4</v>
      </c>
      <c r="U58" s="71">
        <f>IFERROR(T58*s_EFw*s_EDw*s_ETw*(1/24)*s_IRAw,".")</f>
        <v>4.9843749999999991</v>
      </c>
      <c r="V58" s="72">
        <f>IFERROR(T58*s_EFw*(1/365)*s_EDw*s_ETw*(1/24)*s_GSFa,".")</f>
        <v>9.1038812785388095E-4</v>
      </c>
      <c r="W58" s="71">
        <f>U58*up_isospec!$B24</f>
        <v>24.921874999999996</v>
      </c>
      <c r="X58" s="73">
        <f>V58*up_isospec!$C24</f>
        <v>4.5519406392694048E-3</v>
      </c>
      <c r="Y58" s="74">
        <f t="shared" si="70"/>
        <v>24.926426940639267</v>
      </c>
      <c r="Z58" s="70">
        <f>Z$48*s_Aeq_Feq!$C24</f>
        <v>3.0658987152220354E-4</v>
      </c>
      <c r="AA58" s="71">
        <f>IFERROR(Z58*s_EFw*s_EDw*s_ETw*(1/24)*s_IRAw,".")</f>
        <v>2.1078053667151488</v>
      </c>
      <c r="AB58" s="72">
        <f>IFERROR(Z58*s_EFw*(1/365)*s_EDw*s_ETw*(1/24)*s_GSFa,".")</f>
        <v>3.8498728159180813E-4</v>
      </c>
      <c r="AC58" s="71">
        <f>IFERROR(AA58*up_isospec!$B24,".")</f>
        <v>10.539026833575743</v>
      </c>
      <c r="AD58" s="73">
        <f>IFERROR(AB58*up_isospec!$C24,".")</f>
        <v>1.9249364079590406E-3</v>
      </c>
      <c r="AE58" s="74">
        <f t="shared" si="67"/>
        <v>10.540951769983703</v>
      </c>
      <c r="AF58" s="70">
        <f>AF$48*s_Aeq_Feq!$C24</f>
        <v>3.6249999999999997E-8</v>
      </c>
      <c r="AG58" s="71">
        <f>IFERROR(AF58*s_EFw*s_EDw*s_ETw*(1/24)*s_IRAw,".")</f>
        <v>2.4921874999999993E-4</v>
      </c>
      <c r="AH58" s="72">
        <f>IFERROR(AF58*s_EFw*(1/365)*s_EDw*s_ETw*(1/24)*s_GSFa,".")</f>
        <v>4.5519406392694059E-8</v>
      </c>
      <c r="AI58" s="71">
        <f>AG58*up_isospec!$B24</f>
        <v>1.2460937499999996E-3</v>
      </c>
      <c r="AJ58" s="73">
        <f>AH58*up_isospec!$C24</f>
        <v>2.2759703196347031E-7</v>
      </c>
      <c r="AK58" s="74">
        <f t="shared" si="68"/>
        <v>1.2463213470319632E-3</v>
      </c>
    </row>
    <row r="59" spans="1:37" x14ac:dyDescent="0.25">
      <c r="A59" s="23" t="str">
        <f>up_isospec!A25</f>
        <v>Rn-222~Tl-206</v>
      </c>
      <c r="B59" s="70">
        <f>B$48*s_Aeq_Feq!$B25</f>
        <v>0</v>
      </c>
      <c r="C59" s="71">
        <f t="shared" si="59"/>
        <v>0</v>
      </c>
      <c r="D59" s="72">
        <f t="shared" si="60"/>
        <v>0</v>
      </c>
      <c r="E59" s="71">
        <f>C59*up_isospec!$B25</f>
        <v>0</v>
      </c>
      <c r="F59" s="73">
        <f>D59*up_isospec!$C25</f>
        <v>0</v>
      </c>
      <c r="G59" s="74">
        <f t="shared" si="69"/>
        <v>0</v>
      </c>
      <c r="H59" s="70">
        <f>H$48*s_Aeq_Feq!$B25</f>
        <v>0</v>
      </c>
      <c r="I59" s="71">
        <f t="shared" si="61"/>
        <v>0</v>
      </c>
      <c r="J59" s="72">
        <f t="shared" si="62"/>
        <v>0</v>
      </c>
      <c r="K59" s="71">
        <f>IFERROR(I59*up_isospec!$B25,".")</f>
        <v>0</v>
      </c>
      <c r="L59" s="73">
        <f>IFERROR(J59*up_isospec!$C25,".")</f>
        <v>0</v>
      </c>
      <c r="M59" s="74">
        <f t="shared" si="63"/>
        <v>0</v>
      </c>
      <c r="N59" s="70">
        <f>N$48*s_Aeq_Feq!$B25</f>
        <v>0</v>
      </c>
      <c r="O59" s="71">
        <f t="shared" si="64"/>
        <v>0</v>
      </c>
      <c r="P59" s="72">
        <f t="shared" si="65"/>
        <v>0</v>
      </c>
      <c r="Q59" s="71">
        <f>O59*up_isospec!$B25</f>
        <v>0</v>
      </c>
      <c r="R59" s="73">
        <f>P59*up_isospec!$C25</f>
        <v>0</v>
      </c>
      <c r="S59" s="74">
        <f t="shared" si="66"/>
        <v>0</v>
      </c>
      <c r="T59" s="70">
        <f>T$48*s_Aeq_Feq!$C25</f>
        <v>0</v>
      </c>
      <c r="U59" s="71">
        <f>IFERROR(T59*s_EFw*s_EDw*s_ETw*(1/24)*s_IRAw,".")</f>
        <v>0</v>
      </c>
      <c r="V59" s="72">
        <f>IFERROR(T59*s_EFw*(1/365)*s_EDw*s_ETw*(1/24)*s_GSFa,".")</f>
        <v>0</v>
      </c>
      <c r="W59" s="71">
        <f>U59*up_isospec!$B25</f>
        <v>0</v>
      </c>
      <c r="X59" s="73">
        <f>V59*up_isospec!$C25</f>
        <v>0</v>
      </c>
      <c r="Y59" s="74">
        <f t="shared" si="70"/>
        <v>0</v>
      </c>
      <c r="Z59" s="70">
        <f>Z$48*s_Aeq_Feq!$C25</f>
        <v>0</v>
      </c>
      <c r="AA59" s="71">
        <f>IFERROR(Z59*s_EFw*s_EDw*s_ETw*(1/24)*s_IRAw,".")</f>
        <v>0</v>
      </c>
      <c r="AB59" s="72">
        <f>IFERROR(Z59*s_EFw*(1/365)*s_EDw*s_ETw*(1/24)*s_GSFa,".")</f>
        <v>0</v>
      </c>
      <c r="AC59" s="71">
        <f>IFERROR(AA59*up_isospec!$B25,".")</f>
        <v>0</v>
      </c>
      <c r="AD59" s="73">
        <f>IFERROR(AB59*up_isospec!$C25,".")</f>
        <v>0</v>
      </c>
      <c r="AE59" s="74">
        <f t="shared" si="67"/>
        <v>0</v>
      </c>
      <c r="AF59" s="70">
        <f>AF$48*s_Aeq_Feq!$C25</f>
        <v>0</v>
      </c>
      <c r="AG59" s="71">
        <f>IFERROR(AF59*s_EFw*s_EDw*s_ETw*(1/24)*s_IRAw,".")</f>
        <v>0</v>
      </c>
      <c r="AH59" s="72">
        <f>IFERROR(AF59*s_EFw*(1/365)*s_EDw*s_ETw*(1/24)*s_GSFa,".")</f>
        <v>0</v>
      </c>
      <c r="AI59" s="71">
        <f>AG59*up_isospec!$B25</f>
        <v>0</v>
      </c>
      <c r="AJ59" s="73">
        <f>AH59*up_isospec!$C25</f>
        <v>0</v>
      </c>
      <c r="AK59" s="74">
        <f t="shared" si="68"/>
        <v>0</v>
      </c>
    </row>
    <row r="60" spans="1:37" ht="15.75" thickBot="1" x14ac:dyDescent="0.3">
      <c r="A60" s="23" t="str">
        <f>up_isospec!A26</f>
        <v>Rn-222~Tl-210</v>
      </c>
      <c r="B60" s="79">
        <f>B$48*s_Aeq_Feq!$B26</f>
        <v>4.6199999999999998E-2</v>
      </c>
      <c r="C60" s="80">
        <f t="shared" si="59"/>
        <v>92.640624999999986</v>
      </c>
      <c r="D60" s="81">
        <f t="shared" si="60"/>
        <v>5.801369863013698E-2</v>
      </c>
      <c r="E60" s="80">
        <f>C60*up_isospec!$B26</f>
        <v>463.20312499999994</v>
      </c>
      <c r="F60" s="82">
        <f>D60*up_isospec!$C26</f>
        <v>0.29006849315068489</v>
      </c>
      <c r="G60" s="83">
        <f t="shared" si="69"/>
        <v>463.49319349315061</v>
      </c>
      <c r="H60" s="79">
        <f>H$48*s_Aeq_Feq!$B26</f>
        <v>1.9537175261139038E-2</v>
      </c>
      <c r="I60" s="80">
        <f t="shared" si="61"/>
        <v>39.17610664342984</v>
      </c>
      <c r="J60" s="81">
        <f t="shared" si="62"/>
        <v>2.4532982633850387E-2</v>
      </c>
      <c r="K60" s="80">
        <f>IFERROR(I60*up_isospec!$B26,".")</f>
        <v>195.88053321714921</v>
      </c>
      <c r="L60" s="82">
        <f>IFERROR(J60*up_isospec!$C26,".")</f>
        <v>0.12266491316925193</v>
      </c>
      <c r="M60" s="83">
        <f t="shared" si="63"/>
        <v>196.00319813031845</v>
      </c>
      <c r="N60" s="79">
        <f>N$48*s_Aeq_Feq!$B26</f>
        <v>2.3099999999999999E-6</v>
      </c>
      <c r="O60" s="80">
        <f t="shared" si="64"/>
        <v>4.6320312499999999E-3</v>
      </c>
      <c r="P60" s="81">
        <f t="shared" si="65"/>
        <v>2.9006849315068489E-6</v>
      </c>
      <c r="Q60" s="80">
        <f>O60*up_isospec!$B26</f>
        <v>2.3160156250000001E-2</v>
      </c>
      <c r="R60" s="82">
        <f>P60*up_isospec!$C26</f>
        <v>1.4503424657534245E-5</v>
      </c>
      <c r="S60" s="83">
        <f t="shared" si="66"/>
        <v>2.3174659674657535E-2</v>
      </c>
      <c r="T60" s="79">
        <f>T$48*s_Aeq_Feq!$C26</f>
        <v>4.6199999999999998E-2</v>
      </c>
      <c r="U60" s="80">
        <f>IFERROR(T60*s_EFw*s_EDw*s_ETw*(1/24)*s_IRAw,".")</f>
        <v>317.62499999999994</v>
      </c>
      <c r="V60" s="81">
        <f>IFERROR(T60*s_EFw*(1/365)*s_EDw*s_ETw*(1/24)*s_GSFa,".")</f>
        <v>5.801369863013698E-2</v>
      </c>
      <c r="W60" s="80">
        <f>U60*up_isospec!$B26</f>
        <v>1588.1249999999998</v>
      </c>
      <c r="X60" s="82">
        <f>V60*up_isospec!$C26</f>
        <v>0.29006849315068489</v>
      </c>
      <c r="Y60" s="83">
        <f t="shared" si="70"/>
        <v>1588.4150684931506</v>
      </c>
      <c r="Z60" s="79">
        <f>Z$48*s_Aeq_Feq!$C26</f>
        <v>1.9537175261139038E-2</v>
      </c>
      <c r="AA60" s="80">
        <f>IFERROR(Z60*s_EFw*s_EDw*s_ETw*(1/24)*s_IRAw,".")</f>
        <v>134.31807992033083</v>
      </c>
      <c r="AB60" s="81">
        <f>IFERROR(Z60*s_EFw*(1/365)*s_EDw*s_ETw*(1/24)*s_GSFa,".")</f>
        <v>2.4532982633850387E-2</v>
      </c>
      <c r="AC60" s="80">
        <f>IFERROR(AA60*up_isospec!$B26,".")</f>
        <v>671.5903996016541</v>
      </c>
      <c r="AD60" s="82">
        <f>IFERROR(AB60*up_isospec!$C26,".")</f>
        <v>0.12266491316925193</v>
      </c>
      <c r="AE60" s="83">
        <f t="shared" si="67"/>
        <v>671.71306451482337</v>
      </c>
      <c r="AF60" s="79">
        <f>AF$48*s_Aeq_Feq!$C26</f>
        <v>2.3099999999999999E-6</v>
      </c>
      <c r="AG60" s="80">
        <f>IFERROR(AF60*s_EFw*s_EDw*s_ETw*(1/24)*s_IRAw,".")</f>
        <v>1.5881249999999996E-2</v>
      </c>
      <c r="AH60" s="81">
        <f>IFERROR(AF60*s_EFw*(1/365)*s_EDw*s_ETw*(1/24)*s_GSFa,".")</f>
        <v>2.9006849315068489E-6</v>
      </c>
      <c r="AI60" s="80">
        <f>AG60*up_isospec!$B26</f>
        <v>7.9406249999999984E-2</v>
      </c>
      <c r="AJ60" s="82">
        <f>AH60*up_isospec!$C26</f>
        <v>1.4503424657534245E-5</v>
      </c>
      <c r="AK60" s="83">
        <f t="shared" si="68"/>
        <v>7.9420753424657514E-2</v>
      </c>
    </row>
    <row r="61" spans="1:37" x14ac:dyDescent="0.25">
      <c r="B61" s="44"/>
      <c r="C61" s="44"/>
      <c r="D61" s="56"/>
      <c r="E61" s="56"/>
      <c r="F61" s="44"/>
    </row>
    <row r="62" spans="1:37" x14ac:dyDescent="0.25">
      <c r="B62" s="44"/>
      <c r="C62" s="44"/>
      <c r="D62" s="56"/>
      <c r="E62" s="56"/>
      <c r="F62" s="44"/>
    </row>
    <row r="63" spans="1:37" x14ac:dyDescent="0.25">
      <c r="B63" s="44"/>
      <c r="C63" s="44"/>
      <c r="D63" s="56"/>
      <c r="E63" s="56"/>
      <c r="F63" s="44"/>
    </row>
  </sheetData>
  <sheetProtection algorithmName="SHA-512" hashValue="GJEr3nQOj38DK2fVXxDVq/faNagnaQB/dRZnOnUt/EyeHfka4SI6RuzxjES193HmZYh4tM9YXdHylNjWnGiDAA==" saltValue="7Jcbdv6/dMhXtvTvwea05g==" spinCount="100000" sheet="1" objects="1" scenarios="1"/>
  <mergeCells count="24">
    <mergeCell ref="T30:Y30"/>
    <mergeCell ref="Z30:AE30"/>
    <mergeCell ref="AF30:AK30"/>
    <mergeCell ref="B31:B32"/>
    <mergeCell ref="C31:D31"/>
    <mergeCell ref="E31:G31"/>
    <mergeCell ref="H31:H32"/>
    <mergeCell ref="I31:J31"/>
    <mergeCell ref="K31:M31"/>
    <mergeCell ref="N31:N32"/>
    <mergeCell ref="B30:G30"/>
    <mergeCell ref="H30:M30"/>
    <mergeCell ref="N30:S30"/>
    <mergeCell ref="O31:P31"/>
    <mergeCell ref="Q31:S31"/>
    <mergeCell ref="AF31:AF32"/>
    <mergeCell ref="AG31:AH31"/>
    <mergeCell ref="AI31:AK31"/>
    <mergeCell ref="T31:T32"/>
    <mergeCell ref="U31:V31"/>
    <mergeCell ref="W31:Y31"/>
    <mergeCell ref="Z31:Z32"/>
    <mergeCell ref="AA31:AB31"/>
    <mergeCell ref="AC31:AE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A8D53-12B4-4A7B-BBCF-2F1CD185802D}">
  <dimension ref="A1:AK63"/>
  <sheetViews>
    <sheetView zoomScaleNormal="100"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 defaultRowHeight="15" x14ac:dyDescent="0.25"/>
  <cols>
    <col min="1" max="1" width="17.7109375" style="40" bestFit="1" customWidth="1"/>
    <col min="2" max="2" width="12.85546875" style="40" bestFit="1" customWidth="1"/>
    <col min="3" max="3" width="9" style="40" bestFit="1" customWidth="1"/>
    <col min="4" max="4" width="9.140625" style="40" bestFit="1" customWidth="1"/>
    <col min="5" max="5" width="11.140625" style="40" bestFit="1" customWidth="1"/>
    <col min="6" max="6" width="9.42578125" style="40" bestFit="1" customWidth="1"/>
    <col min="7" max="7" width="9.140625" style="40" bestFit="1" customWidth="1"/>
    <col min="8" max="8" width="10.140625" style="40" bestFit="1" customWidth="1"/>
    <col min="9" max="9" width="10.42578125" style="40" bestFit="1" customWidth="1"/>
    <col min="10" max="10" width="9.85546875" style="40" bestFit="1" customWidth="1"/>
    <col min="11" max="11" width="9.140625" style="40" bestFit="1" customWidth="1"/>
    <col min="12" max="12" width="9.42578125" style="40" bestFit="1" customWidth="1"/>
    <col min="13" max="13" width="9.140625" style="40" bestFit="1" customWidth="1"/>
    <col min="14" max="15" width="8.5703125" style="40" bestFit="1" customWidth="1"/>
    <col min="16" max="16" width="8.85546875" style="40" bestFit="1" customWidth="1"/>
    <col min="17" max="17" width="9.140625" style="40" bestFit="1" customWidth="1"/>
    <col min="18" max="18" width="9.42578125" style="40" bestFit="1" customWidth="1"/>
    <col min="19" max="19" width="8.85546875" style="40" bestFit="1" customWidth="1"/>
    <col min="20" max="20" width="12.85546875" style="40" bestFit="1" customWidth="1"/>
    <col min="21" max="21" width="10" style="40" bestFit="1" customWidth="1"/>
    <col min="22" max="22" width="9.140625" style="40" bestFit="1" customWidth="1"/>
    <col min="23" max="23" width="12.140625" style="40" bestFit="1" customWidth="1"/>
    <col min="24" max="24" width="10.285156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29" width="9.140625" style="40" bestFit="1" customWidth="1"/>
    <col min="30" max="30" width="9.42578125" style="40" bestFit="1" customWidth="1"/>
    <col min="31" max="31" width="9.140625" style="40" bestFit="1" customWidth="1"/>
    <col min="32" max="33" width="8.5703125" style="40" bestFit="1" customWidth="1"/>
    <col min="34" max="34" width="8.85546875" style="40" bestFit="1" customWidth="1"/>
    <col min="35" max="35" width="9.140625" style="40" bestFit="1" customWidth="1"/>
    <col min="36" max="36" width="9.42578125" style="40" bestFit="1" customWidth="1"/>
    <col min="37" max="37" width="9.140625" style="40" bestFit="1" customWidth="1"/>
    <col min="38" max="16384" width="9" style="40"/>
  </cols>
  <sheetData>
    <row r="1" spans="1:28" x14ac:dyDescent="0.25">
      <c r="A1" s="57" t="s">
        <v>158</v>
      </c>
      <c r="B1" s="58" t="s">
        <v>136</v>
      </c>
      <c r="C1" s="58" t="s">
        <v>137</v>
      </c>
      <c r="D1" s="58" t="s">
        <v>135</v>
      </c>
      <c r="E1" s="58" t="s">
        <v>149</v>
      </c>
      <c r="F1" s="58" t="s">
        <v>150</v>
      </c>
      <c r="G1" s="58" t="s">
        <v>25</v>
      </c>
      <c r="H1" s="58" t="s">
        <v>22</v>
      </c>
      <c r="I1" s="58" t="s">
        <v>23</v>
      </c>
      <c r="J1" s="58" t="s">
        <v>24</v>
      </c>
      <c r="T1" s="61" t="s">
        <v>188</v>
      </c>
      <c r="U1" s="61" t="s">
        <v>189</v>
      </c>
      <c r="V1" s="61" t="s">
        <v>138</v>
      </c>
      <c r="W1" s="61" t="s">
        <v>147</v>
      </c>
      <c r="X1" s="61" t="s">
        <v>148</v>
      </c>
      <c r="Y1" s="61" t="s">
        <v>139</v>
      </c>
      <c r="Z1" s="61" t="s">
        <v>140</v>
      </c>
      <c r="AA1" s="61" t="s">
        <v>141</v>
      </c>
      <c r="AB1" s="61" t="s">
        <v>142</v>
      </c>
    </row>
    <row r="2" spans="1:28" x14ac:dyDescent="0.25">
      <c r="A2" s="57" t="str">
        <f>isospec!A2</f>
        <v>Rn-219</v>
      </c>
      <c r="B2" s="59">
        <f>1/(SUM((1/B3),(1/B4),(1/B5),(1/B6),(1/B7),(1/B8)))</f>
        <v>3.6994532571587389</v>
      </c>
      <c r="C2" s="59">
        <f>1/(SUM((1/C3),(1/C4),(1/C5),(1/C6),(1/C7),(1/C8)))</f>
        <v>3.6994532571587402E-3</v>
      </c>
      <c r="D2" s="59">
        <f>IFERROR(1/(1/D3),0)</f>
        <v>0</v>
      </c>
      <c r="E2" s="59">
        <f>B2/AFss</f>
        <v>123.31510857195796</v>
      </c>
      <c r="F2" s="59">
        <f>(B2/AFss)/1000</f>
        <v>0.12331510857195796</v>
      </c>
      <c r="G2" s="59">
        <f>IFERROR(B2/(AFgw*1000*isospec!M2),0)</f>
        <v>0.8537782327021235</v>
      </c>
      <c r="H2" s="59">
        <f>1/(1/H5)</f>
        <v>3.7110017449335748</v>
      </c>
      <c r="I2" s="59">
        <f>1/(SUM((1/I3),(1/I4),(1/I5),(1/I6),(1/I7),(1/I8)))</f>
        <v>1188.7857319754085</v>
      </c>
      <c r="J2" s="59">
        <f>1/(SUM((1/J3),(1/J4),(1/J5),(1/J6),(1/J7),(1/J8)))</f>
        <v>3.6994532571587389</v>
      </c>
      <c r="T2" s="59">
        <f>1/(SUM((1/T3),(1/T4),(1/T5),(1/T6),(1/T7),(1/T8)))</f>
        <v>6.0388509804163917</v>
      </c>
      <c r="U2" s="59">
        <f>1/(SUM((1/U3),(1/U4),(1/U5),(1/U6),(1/U7),(1/U8)))</f>
        <v>6.0388509804163923E-3</v>
      </c>
      <c r="V2" s="59">
        <f>IFERROR(1/(1/V3),0)</f>
        <v>0</v>
      </c>
      <c r="W2" s="59">
        <f>T2/AFss</f>
        <v>201.2950326805464</v>
      </c>
      <c r="X2" s="59">
        <f>(T2/AFss)/1000</f>
        <v>0.20129503268054641</v>
      </c>
      <c r="Y2" s="59">
        <f>IFERROR(T2/(AFgw*1000*isospec!M2),0)</f>
        <v>1.3936760810896662</v>
      </c>
      <c r="Z2" s="59">
        <f>1/(1/Z5)</f>
        <v>6.0449624305584946</v>
      </c>
      <c r="AA2" s="59">
        <f>1/(SUM((1/AA3),(1/AA4),(1/AA5),(1/AA6),(1/AA7),(1/AA8)))</f>
        <v>5973.1530899471018</v>
      </c>
      <c r="AB2" s="59">
        <f>1/(SUM((1/AB3),(1/AB4),(1/AB5),(1/AB6),(1/AB7),(1/AB8)))</f>
        <v>6.0388509804163917</v>
      </c>
    </row>
    <row r="3" spans="1:28" x14ac:dyDescent="0.25">
      <c r="A3" s="57" t="str">
        <f>isospec!A2</f>
        <v>Rn-219</v>
      </c>
      <c r="B3" s="60">
        <f t="shared" ref="B3:B8" si="0">J3</f>
        <v>3488.8248226715032</v>
      </c>
      <c r="C3" s="60">
        <f t="shared" ref="C3:C8" si="1">B3/1000</f>
        <v>3.4888248226715031</v>
      </c>
      <c r="D3" s="60">
        <f>(H3/1000)*Aeq_Feq!E2</f>
        <v>0</v>
      </c>
      <c r="E3" s="60"/>
      <c r="F3" s="60"/>
      <c r="G3" s="60"/>
      <c r="H3" s="60">
        <f>IFERROR((DL)/(isospec!D2*IFAres_adj_d)/Aeq_Feq!B2,0)</f>
        <v>0</v>
      </c>
      <c r="I3" s="60">
        <f>IFERROR((DL)/(isospec!E2*EFres*(1/365)*1*ETres*(1/24)*GSFa)/Aeq_Feq!B2,0)</f>
        <v>3488.8248226715032</v>
      </c>
      <c r="J3" s="60">
        <f t="shared" ref="J3:J8" si="2">IFERROR(IF(AND(H3&lt;&gt;0,I3&lt;&gt;0),1/((1/H3)+(1/I3)),IF(AND(H3&lt;&gt;0,I3=0),1/(1/H3),IF(AND(H3=0,I3&lt;&gt;0),1/(1/I3),IF(AND(H3=0,I3=0),0)))),0)</f>
        <v>3488.8248226715032</v>
      </c>
      <c r="T3" s="60">
        <f t="shared" ref="T3:T8" si="3">AB3</f>
        <v>14653.064255220313</v>
      </c>
      <c r="U3" s="60">
        <f>T3/1000</f>
        <v>14.653064255220313</v>
      </c>
      <c r="V3" s="60">
        <f>(Z3/1000)*Aeq_Feq!G2</f>
        <v>0</v>
      </c>
      <c r="W3" s="60"/>
      <c r="X3" s="60"/>
      <c r="Y3" s="60"/>
      <c r="Z3" s="60">
        <f>IFERROR((DL)/(isospec!D2*EFw*1*ETw*(1/24)*IRAw)/Aeq_Feq!C2,0)</f>
        <v>0</v>
      </c>
      <c r="AA3" s="60">
        <f>IFERROR((DL)/(isospec!E2*EFw*(1/365)*1*ETw*(1/24)*GSFa)/Aeq_Feq!C2,0)</f>
        <v>14653.064255220313</v>
      </c>
      <c r="AB3" s="60">
        <f t="shared" ref="AB3:AB8" si="4">IFERROR(IF(AND(Z3&lt;&gt;0,AA3&lt;&gt;0),1/((1/Z3)+(1/AA3)),IF(AND(Z3&lt;&gt;0,AA3=0),1/(1/Z3),IF(AND(Z3=0,AA3&lt;&gt;0),1/(1/AA3),IF(AND(Z3=0,AA3=0),0)))),0)</f>
        <v>14653.064255220313</v>
      </c>
    </row>
    <row r="4" spans="1:28" x14ac:dyDescent="0.25">
      <c r="A4" s="57" t="str">
        <f>isospec!A3</f>
        <v>Rn-219~Bi-211</v>
      </c>
      <c r="B4" s="60">
        <f t="shared" si="0"/>
        <v>5035.2222036399298</v>
      </c>
      <c r="C4" s="60">
        <f t="shared" si="1"/>
        <v>5.0352222036399299</v>
      </c>
      <c r="D4" s="60">
        <f>(H4/1000)*Aeq_Feq!E3</f>
        <v>0</v>
      </c>
      <c r="E4" s="60"/>
      <c r="F4" s="60"/>
      <c r="G4" s="60"/>
      <c r="H4" s="60">
        <f>IFERROR((DL)/(isospec!D3*IFAres_adj_d)/Aeq_Feq!B3,0)</f>
        <v>0</v>
      </c>
      <c r="I4" s="60">
        <f>IFERROR((DL)/(isospec!E3*EFres*(1/365)*1*ETres*(1/24)*GSFa)/Aeq_Feq!B3,0)</f>
        <v>5035.2222036399298</v>
      </c>
      <c r="J4" s="60">
        <f t="shared" si="2"/>
        <v>5035.2222036399298</v>
      </c>
      <c r="T4" s="60">
        <f t="shared" si="3"/>
        <v>28412.768903192289</v>
      </c>
      <c r="U4" s="60">
        <f t="shared" ref="U4:U17" si="5">T4/1000</f>
        <v>28.412768903192291</v>
      </c>
      <c r="V4" s="60">
        <f>(Z4/1000)*Aeq_Feq!G3</f>
        <v>0</v>
      </c>
      <c r="W4" s="60"/>
      <c r="X4" s="60"/>
      <c r="Y4" s="60"/>
      <c r="Z4" s="60">
        <f>IFERROR((DL)/(isospec!D3*EFw*1*ETw*(1/24)*IRAw)/Aeq_Feq!C3,0)</f>
        <v>0</v>
      </c>
      <c r="AA4" s="60">
        <f>IFERROR((DL)/(isospec!E3*EFw*(1/365)*1*ETw*(1/24)*GSFa)/Aeq_Feq!C3,0)</f>
        <v>28412.768903192286</v>
      </c>
      <c r="AB4" s="60">
        <f t="shared" si="4"/>
        <v>28412.768903192289</v>
      </c>
    </row>
    <row r="5" spans="1:28" x14ac:dyDescent="0.25">
      <c r="A5" s="57" t="str">
        <f>isospec!A4</f>
        <v>Rn-219~Pb-211</v>
      </c>
      <c r="B5" s="60">
        <f t="shared" si="0"/>
        <v>3.7067129770627081</v>
      </c>
      <c r="C5" s="60">
        <f t="shared" si="1"/>
        <v>3.7067129770627081E-3</v>
      </c>
      <c r="D5" s="60">
        <f>(H5/1000)*Aeq_Feq!E4</f>
        <v>0</v>
      </c>
      <c r="E5" s="60"/>
      <c r="F5" s="60"/>
      <c r="G5" s="60"/>
      <c r="H5" s="60">
        <f>IFERROR((DL)/(isospec!D4*IFAres_adj_d)/Aeq_Feq!B4,0)</f>
        <v>3.7110017449335748</v>
      </c>
      <c r="I5" s="60">
        <f>IFERROR((DL)/(isospec!E4*EFres*(1/365)*1*ETres*(1/24)*GSFa)/Aeq_Feq!B4,0)</f>
        <v>3207.3590224570098</v>
      </c>
      <c r="J5" s="60">
        <f t="shared" si="2"/>
        <v>3.7067129770627081</v>
      </c>
      <c r="T5" s="60">
        <f t="shared" si="3"/>
        <v>6.0429007457225907</v>
      </c>
      <c r="U5" s="60">
        <f t="shared" si="5"/>
        <v>6.0429007457225908E-3</v>
      </c>
      <c r="V5" s="60">
        <f>(Z5/1000)*Aeq_Feq!G4</f>
        <v>0</v>
      </c>
      <c r="W5" s="60"/>
      <c r="X5" s="60"/>
      <c r="Y5" s="60"/>
      <c r="Z5" s="60">
        <f>IFERROR((DL)/(isospec!D4*EFw*1*ETw*(1/24)*IRAw)/Aeq_Feq!C4,0)</f>
        <v>6.0449624305584946</v>
      </c>
      <c r="AA5" s="60">
        <f>IFERROR((DL)/(isospec!E4*EFw*(1/365)*1*ETw*(1/24)*GSFa)/Aeq_Feq!C4,0)</f>
        <v>17718.085394688143</v>
      </c>
      <c r="AB5" s="60">
        <f t="shared" si="4"/>
        <v>6.0429007457225907</v>
      </c>
    </row>
    <row r="6" spans="1:28" x14ac:dyDescent="0.25">
      <c r="A6" s="57" t="str">
        <f>isospec!A5</f>
        <v>Rn-219~Po-211</v>
      </c>
      <c r="B6" s="60">
        <f t="shared" si="0"/>
        <v>9976978.9388282485</v>
      </c>
      <c r="C6" s="60">
        <f t="shared" si="1"/>
        <v>9976.9789388282479</v>
      </c>
      <c r="D6" s="60">
        <f>(H6/1000)*Aeq_Feq!E5</f>
        <v>0</v>
      </c>
      <c r="E6" s="60"/>
      <c r="F6" s="60"/>
      <c r="G6" s="60"/>
      <c r="H6" s="60">
        <f>IFERROR((DL)/(isospec!D5*IFAres_adj_d)/Aeq_Feq!B5,0)</f>
        <v>0</v>
      </c>
      <c r="I6" s="60">
        <f>IFERROR((DL)/(isospec!E5*EFres*(1/365)*1*ETres*(1/24)*GSFa)/Aeq_Feq!B5,0)</f>
        <v>9976978.9388282485</v>
      </c>
      <c r="J6" s="60">
        <f t="shared" si="2"/>
        <v>9976978.9388282485</v>
      </c>
      <c r="T6" s="60">
        <f t="shared" si="3"/>
        <v>55871082.057438202</v>
      </c>
      <c r="U6" s="60">
        <f t="shared" si="5"/>
        <v>55871.082057438201</v>
      </c>
      <c r="V6" s="60">
        <f>(Z6/1000)*Aeq_Feq!G5</f>
        <v>0</v>
      </c>
      <c r="W6" s="60"/>
      <c r="X6" s="60"/>
      <c r="Y6" s="60"/>
      <c r="Z6" s="60">
        <f>IFERROR((DL)/(isospec!D5*EFw*1*ETw*(1/24)*IRAw)/Aeq_Feq!C5,0)</f>
        <v>0</v>
      </c>
      <c r="AA6" s="60">
        <f>IFERROR((DL)/(isospec!E5*EFw*(1/365)*1*ETw*(1/24)*GSFa)/Aeq_Feq!C5,0)</f>
        <v>55871082.057438195</v>
      </c>
      <c r="AB6" s="60">
        <f t="shared" si="4"/>
        <v>55871082.057438202</v>
      </c>
    </row>
    <row r="7" spans="1:28" x14ac:dyDescent="0.25">
      <c r="A7" s="57" t="str">
        <f>isospec!A6</f>
        <v>Rn-219~Po-215</v>
      </c>
      <c r="B7" s="60">
        <f t="shared" si="0"/>
        <v>1145050.1982101344</v>
      </c>
      <c r="C7" s="60">
        <f t="shared" si="1"/>
        <v>1145.0501982101343</v>
      </c>
      <c r="D7" s="60">
        <f>(H7/1000)*Aeq_Feq!E6</f>
        <v>0</v>
      </c>
      <c r="E7" s="60"/>
      <c r="F7" s="60"/>
      <c r="G7" s="60"/>
      <c r="H7" s="60">
        <f>IFERROR((DL)/(isospec!D6*IFAres_adj_d)/Aeq_Feq!B6,0)</f>
        <v>0</v>
      </c>
      <c r="I7" s="60">
        <f>IFERROR((DL)/(isospec!E6*EFres*(1/365)*1*ETres*(1/24)*GSFa)/Aeq_Feq!B6,0)</f>
        <v>1145050.1982101344</v>
      </c>
      <c r="J7" s="60">
        <f t="shared" si="2"/>
        <v>1145050.1982101344</v>
      </c>
      <c r="T7" s="60">
        <f t="shared" si="3"/>
        <v>4835321.5689549204</v>
      </c>
      <c r="U7" s="60">
        <f t="shared" si="5"/>
        <v>4835.3215689549206</v>
      </c>
      <c r="V7" s="60">
        <f>(Z7/1000)*Aeq_Feq!G6</f>
        <v>0</v>
      </c>
      <c r="W7" s="60"/>
      <c r="X7" s="60"/>
      <c r="Y7" s="60"/>
      <c r="Z7" s="60">
        <f>IFERROR((DL)/(isospec!D6*EFw*1*ETw*(1/24)*IRAw)/Aeq_Feq!C6,0)</f>
        <v>0</v>
      </c>
      <c r="AA7" s="60">
        <f>IFERROR((DL)/(isospec!E6*EFw*(1/365)*1*ETw*(1/24)*GSFa)/Aeq_Feq!C6,0)</f>
        <v>4835321.5689549204</v>
      </c>
      <c r="AB7" s="60">
        <f t="shared" si="4"/>
        <v>4835321.5689549204</v>
      </c>
    </row>
    <row r="8" spans="1:28" x14ac:dyDescent="0.25">
      <c r="A8" s="57" t="str">
        <f>isospec!A7</f>
        <v>Rn-219~Tl-207</v>
      </c>
      <c r="B8" s="60">
        <f t="shared" si="0"/>
        <v>23144.130083534048</v>
      </c>
      <c r="C8" s="60">
        <f t="shared" si="1"/>
        <v>23.144130083534048</v>
      </c>
      <c r="D8" s="60">
        <f>(H8/1000)*Aeq_Feq!E7</f>
        <v>0</v>
      </c>
      <c r="E8" s="60"/>
      <c r="F8" s="60"/>
      <c r="G8" s="60"/>
      <c r="H8" s="60">
        <f>IFERROR((DL)/(isospec!D7*IFAres_adj_d)/Aeq_Feq!B7,0)</f>
        <v>0</v>
      </c>
      <c r="I8" s="60">
        <f>IFERROR((DL)/(isospec!E7*EFres*(1/365)*1*ETres*(1/24)*GSFa)/Aeq_Feq!B7,0)</f>
        <v>23144.130083534048</v>
      </c>
      <c r="J8" s="60">
        <f t="shared" si="2"/>
        <v>23144.130083534048</v>
      </c>
      <c r="T8" s="60">
        <f t="shared" si="3"/>
        <v>136780.29152847649</v>
      </c>
      <c r="U8" s="60">
        <f t="shared" si="5"/>
        <v>136.78029152847648</v>
      </c>
      <c r="V8" s="60">
        <f>(Z8/1000)*Aeq_Feq!G7</f>
        <v>0</v>
      </c>
      <c r="W8" s="60"/>
      <c r="X8" s="60"/>
      <c r="Y8" s="60"/>
      <c r="Z8" s="60">
        <f>IFERROR((DL)/(isospec!D7*EFw*1*ETw*(1/24)*IRAw)/Aeq_Feq!C7,0)</f>
        <v>0</v>
      </c>
      <c r="AA8" s="60">
        <f>IFERROR((DL)/(isospec!E7*EFw*(1/365)*1*ETw*(1/24)*GSFa)/Aeq_Feq!C7,0)</f>
        <v>136780.29152847649</v>
      </c>
      <c r="AB8" s="60">
        <f t="shared" si="4"/>
        <v>136780.29152847649</v>
      </c>
    </row>
    <row r="9" spans="1:28" x14ac:dyDescent="0.25">
      <c r="A9" s="57" t="str">
        <f>isospec!A8</f>
        <v>Rn-220</v>
      </c>
      <c r="B9" s="59">
        <f>1/(SUM((1/B10),(1/B11),(1/B12),(1/B14),(1/B15)))</f>
        <v>1.3765076798101159</v>
      </c>
      <c r="C9" s="59">
        <f>1/(SUM((1/C10),(1/C11),(1/C12),(1/C14),(1/C15)))</f>
        <v>1.3765076798101157E-3</v>
      </c>
      <c r="D9" s="59">
        <f>IFERROR(1/(1/D10),0)</f>
        <v>5.5437521480964031E-3</v>
      </c>
      <c r="E9" s="59">
        <f>B9/AFss</f>
        <v>45.883589327003868</v>
      </c>
      <c r="F9" s="59">
        <f>(B9/AFss)/1000</f>
        <v>4.5883589327003871E-2</v>
      </c>
      <c r="G9" s="59">
        <f>IFERROR(B9/(AFgw*1000*isospec!M8),0)</f>
        <v>0.31767729242017384</v>
      </c>
      <c r="H9" s="59">
        <f>1/(SUM((1/H10),(1/H11),(1/H12)))</f>
        <v>1.3797556318621271</v>
      </c>
      <c r="I9" s="59">
        <f>1/(SUM((1/I10),(1/I11),(1/I12),(1/I14),(1/I15)))</f>
        <v>584.75131193619143</v>
      </c>
      <c r="J9" s="59">
        <f>1/(SUM((1/J10),(1/J11),(1/J12),(1/J14),(1/J15)))</f>
        <v>1.3765076798101159</v>
      </c>
      <c r="T9" s="59">
        <f>1/(SUM((1/T10),(1/T11),(1/T12),(1/T14),(1/T15)))</f>
        <v>4.7486157250300938</v>
      </c>
      <c r="U9" s="59">
        <f>1/(SUM((1/U10),(1/U11),(1/U12),(1/U14),(1/U15)))</f>
        <v>4.7486157250300936E-3</v>
      </c>
      <c r="V9" s="59">
        <f>1/(1/V10)</f>
        <v>1.7040799022004895E-3</v>
      </c>
      <c r="W9" s="59">
        <f>T9/AFss</f>
        <v>158.28719083433646</v>
      </c>
      <c r="X9" s="59">
        <f>(T9/AFss)/1000</f>
        <v>0.15828719083433646</v>
      </c>
      <c r="Y9" s="59">
        <f>IFERROR(T9/(AFgw*1000*isospec!M8),0)</f>
        <v>1.0959091681054163</v>
      </c>
      <c r="Z9" s="59">
        <f>1/(SUM((1/Z10),(1/Z11),(1/Z12)))</f>
        <v>4.7509741278577406</v>
      </c>
      <c r="AA9" s="59">
        <f>1/(SUM((1/AA10),(1/AA11),(1/AA12),(1/AA14),(1/AA15)))</f>
        <v>9566.0292585643765</v>
      </c>
      <c r="AB9" s="59">
        <f>1/(SUM((1/AB10),(1/AB11),(1/AB12),(1/AB14),(1/AB15)))</f>
        <v>4.7486157250300938</v>
      </c>
    </row>
    <row r="10" spans="1:28" x14ac:dyDescent="0.25">
      <c r="A10" s="57" t="str">
        <f>isospec!A8</f>
        <v>Rn-220</v>
      </c>
      <c r="B10" s="60">
        <f t="shared" ref="B10:B15" si="6">J10</f>
        <v>197.29882524578764</v>
      </c>
      <c r="C10" s="60">
        <f t="shared" ref="C10:C15" si="7">B10/1000</f>
        <v>0.19729882524578765</v>
      </c>
      <c r="D10" s="60">
        <f>(H10/1000)*Aeq_Feq!E8</f>
        <v>5.5437521480964031E-3</v>
      </c>
      <c r="E10" s="60"/>
      <c r="F10" s="60"/>
      <c r="G10" s="60"/>
      <c r="H10" s="60">
        <f>IFERROR((DL)/(isospec!D8*IFAres_adj_d)/Aeq_Feq!B8,0)</f>
        <v>197.42137314158154</v>
      </c>
      <c r="I10" s="60">
        <f>IFERROR((DL)/(isospec!E8*EFres*(1/365)*1*ETres*(1/24)*GSFa)/Aeq_Feq!B8,0)</f>
        <v>317843.11551740381</v>
      </c>
      <c r="J10" s="60">
        <f t="shared" ref="J10:J15" si="8">IFERROR(IF(AND(H10&lt;&gt;0,I10&lt;&gt;0),1/((1/H10)+(1/I10)),IF(AND(H10&lt;&gt;0,I10=0),1/(1/H10),IF(AND(H10=0,I10&lt;&gt;0),1/(1/I10),IF(AND(H10=0,I10=0),0)))),0)</f>
        <v>197.29882524578764</v>
      </c>
      <c r="T10" s="60">
        <f t="shared" ref="T10:T15" si="9">AB10</f>
        <v>244.45400496443696</v>
      </c>
      <c r="U10" s="60">
        <f t="shared" si="5"/>
        <v>0.24445400496443695</v>
      </c>
      <c r="V10" s="60">
        <f>(Z10/1000)*Aeq_Feq!G8</f>
        <v>1.7040799022004893E-3</v>
      </c>
      <c r="W10" s="60"/>
      <c r="X10" s="60"/>
      <c r="Y10" s="60"/>
      <c r="Z10" s="60">
        <f>IFERROR((DL)/(isospec!D8*EFw*1*ETw*(1/24)*IRAw)/Aeq_Feq!C8,0)</f>
        <v>244.49877750611248</v>
      </c>
      <c r="AA10" s="60">
        <f>IFERROR((DL)/(isospec!E8*EFw*(1/365)*1*ETw*(1/24)*GSFa)/Aeq_Feq!C8,0)</f>
        <v>1334941.085173096</v>
      </c>
      <c r="AB10" s="60">
        <f t="shared" ref="AB10:AB15" si="10">IFERROR(IF(AND(Z10&lt;&gt;0,AA10&lt;&gt;0),1/((1/Z10)+(1/AA10)),IF(AND(Z10&lt;&gt;0,AA10=0),1/(1/Z10),IF(AND(Z10=0,AA10&lt;&gt;0),1/(1/AA10),IF(AND(Z10=0,AA10=0),0)))),0)</f>
        <v>244.45400496443696</v>
      </c>
    </row>
    <row r="11" spans="1:28" x14ac:dyDescent="0.25">
      <c r="A11" s="57" t="str">
        <f>isospec!A9</f>
        <v>Rn-220~Bi-212</v>
      </c>
      <c r="B11" s="60">
        <f t="shared" si="6"/>
        <v>12.53094873054116</v>
      </c>
      <c r="C11" s="60">
        <f t="shared" si="7"/>
        <v>1.2530948730541161E-2</v>
      </c>
      <c r="D11" s="60">
        <f>(H11/1000)*Aeq_Feq!E9</f>
        <v>0</v>
      </c>
      <c r="E11" s="60"/>
      <c r="F11" s="60"/>
      <c r="G11" s="60"/>
      <c r="H11" s="60">
        <f>IFERROR((DL)/(isospec!D9*IFAres_adj_d)/Aeq_Feq!B9,0)</f>
        <v>12.550120474881503</v>
      </c>
      <c r="I11" s="60">
        <f>IFERROR((DL)/(isospec!E9*EFres*(1/365)*1*ETres*(1/24)*GSFa)/Aeq_Feq!B9,0)</f>
        <v>8202.9529207689266</v>
      </c>
      <c r="J11" s="60">
        <f t="shared" si="8"/>
        <v>12.53094873054116</v>
      </c>
      <c r="T11" s="60">
        <f t="shared" si="9"/>
        <v>62.559203880276129</v>
      </c>
      <c r="U11" s="60">
        <f t="shared" si="5"/>
        <v>6.2559203880276124E-2</v>
      </c>
      <c r="V11" s="60">
        <f>(Z11/1000)*Aeq_Feq!G9</f>
        <v>0</v>
      </c>
      <c r="W11" s="60"/>
      <c r="X11" s="60"/>
      <c r="Y11" s="60"/>
      <c r="Z11" s="60">
        <f>IFERROR((DL)/(isospec!D9*EFw*1*ETw*(1/24)*IRAw)/Aeq_Feq!C9,0)</f>
        <v>62.587426811827768</v>
      </c>
      <c r="AA11" s="60">
        <f>IFERROR((DL)/(isospec!E9*EFw*(1/365)*1*ETw*(1/24)*GSFa)/Aeq_Feq!C9,0)</f>
        <v>138731.85310666409</v>
      </c>
      <c r="AB11" s="60">
        <f t="shared" si="10"/>
        <v>62.559203880276129</v>
      </c>
    </row>
    <row r="12" spans="1:28" x14ac:dyDescent="0.25">
      <c r="A12" s="57" t="str">
        <f>isospec!A10</f>
        <v>Rn-220~Pb-212</v>
      </c>
      <c r="B12" s="60">
        <f t="shared" si="6"/>
        <v>1.5620070641081802</v>
      </c>
      <c r="C12" s="60">
        <f t="shared" si="7"/>
        <v>1.5620070641081802E-3</v>
      </c>
      <c r="D12" s="60">
        <f>(H12/1000)*Aeq_Feq!E10</f>
        <v>0</v>
      </c>
      <c r="E12" s="60"/>
      <c r="F12" s="60"/>
      <c r="G12" s="60"/>
      <c r="H12" s="60">
        <f>IFERROR((DL)/(isospec!D10*IFAres_adj_d)/Aeq_Feq!B10,0)</f>
        <v>1.562450675760819</v>
      </c>
      <c r="I12" s="60">
        <f>IFERROR((DL)/(isospec!E10*EFres*(1/365)*1*ETres*(1/24)*GSFa)/Aeq_Feq!B10,0)</f>
        <v>5501.5664677494269</v>
      </c>
      <c r="J12" s="60">
        <f t="shared" si="8"/>
        <v>1.5620070641081802</v>
      </c>
      <c r="T12" s="60">
        <f t="shared" si="9"/>
        <v>5.2512335556291418</v>
      </c>
      <c r="U12" s="60">
        <f t="shared" si="5"/>
        <v>5.2512335556291418E-3</v>
      </c>
      <c r="V12" s="60">
        <f>(Z12/1000)*Aeq_Feq!G10</f>
        <v>0</v>
      </c>
      <c r="W12" s="60"/>
      <c r="X12" s="60"/>
      <c r="Y12" s="60"/>
      <c r="Z12" s="60">
        <f>IFERROR((DL)/(isospec!D10*EFw*1*ETw*(1/24)*IRAw)/Aeq_Feq!C10,0)</f>
        <v>5.2516733144098042</v>
      </c>
      <c r="AA12" s="60">
        <f>IFERROR((DL)/(isospec!E10*EFw*(1/365)*1*ETw*(1/24)*GSFa)/Aeq_Feq!C10,0)</f>
        <v>62711.114239226707</v>
      </c>
      <c r="AB12" s="60">
        <f t="shared" si="10"/>
        <v>5.2512335556291418</v>
      </c>
    </row>
    <row r="13" spans="1:28" x14ac:dyDescent="0.25">
      <c r="A13" s="57" t="str">
        <f>isospec!A11</f>
        <v>Rn-220~Po-212</v>
      </c>
      <c r="B13" s="60">
        <f t="shared" si="6"/>
        <v>0</v>
      </c>
      <c r="C13" s="60">
        <f t="shared" si="7"/>
        <v>0</v>
      </c>
      <c r="D13" s="60">
        <f>(H13/1000)*Aeq_Feq!E11</f>
        <v>0</v>
      </c>
      <c r="E13" s="60"/>
      <c r="F13" s="60"/>
      <c r="G13" s="60"/>
      <c r="H13" s="60">
        <f>IFERROR((DL)/(isospec!D11*IFAres_adj_d)/Aeq_Feq!B11,0)</f>
        <v>0</v>
      </c>
      <c r="I13" s="60">
        <f>IFERROR((DL)/(isospec!E11*EFres*(1/365)*1*ETres*(1/24)*GSFa)/Aeq_Feq!B11,0)</f>
        <v>0</v>
      </c>
      <c r="J13" s="60">
        <f t="shared" si="8"/>
        <v>0</v>
      </c>
      <c r="T13" s="60">
        <f t="shared" si="9"/>
        <v>0</v>
      </c>
      <c r="U13" s="60">
        <f t="shared" si="5"/>
        <v>0</v>
      </c>
      <c r="V13" s="60">
        <f>(Z13/1000)*Aeq_Feq!G11</f>
        <v>0</v>
      </c>
      <c r="W13" s="60"/>
      <c r="X13" s="60"/>
      <c r="Y13" s="60"/>
      <c r="Z13" s="60">
        <f>IFERROR((DL)/(isospec!D11*EFw*1*ETw*(1/24)*IRAw)/Aeq_Feq!C11,0)</f>
        <v>0</v>
      </c>
      <c r="AA13" s="60">
        <f>IFERROR((DL)/(isospec!E11*EFw*(1/365)*1*ETw*(1/24)*GSFa)/Aeq_Feq!C11,0)</f>
        <v>0</v>
      </c>
      <c r="AB13" s="60">
        <f t="shared" si="10"/>
        <v>0</v>
      </c>
    </row>
    <row r="14" spans="1:28" x14ac:dyDescent="0.25">
      <c r="A14" s="57" t="str">
        <f>isospec!A12</f>
        <v>Rn-220~Po-216</v>
      </c>
      <c r="B14" s="60">
        <f t="shared" si="6"/>
        <v>12759130.780055782</v>
      </c>
      <c r="C14" s="60">
        <f t="shared" si="7"/>
        <v>12759.130780055782</v>
      </c>
      <c r="D14" s="60">
        <f>(H14/1000)*Aeq_Feq!E12</f>
        <v>0</v>
      </c>
      <c r="E14" s="60"/>
      <c r="F14" s="60"/>
      <c r="G14" s="60"/>
      <c r="H14" s="60">
        <f>IFERROR((DL)/(isospec!D12*IFAres_adj_d)/Aeq_Feq!B12,0)</f>
        <v>0</v>
      </c>
      <c r="I14" s="60">
        <f>IFERROR((DL)/(isospec!E12*EFres*(1/365)*1*ETres*(1/24)*GSFa)/Aeq_Feq!B12,0)</f>
        <v>12759130.780055782</v>
      </c>
      <c r="J14" s="60">
        <f t="shared" si="8"/>
        <v>12759130.780055782</v>
      </c>
      <c r="T14" s="60">
        <f t="shared" si="9"/>
        <v>53588349.276234299</v>
      </c>
      <c r="U14" s="60">
        <f t="shared" si="5"/>
        <v>53588.349276234301</v>
      </c>
      <c r="V14" s="60">
        <f>(Z14/1000)*Aeq_Feq!G12</f>
        <v>0</v>
      </c>
      <c r="W14" s="60"/>
      <c r="X14" s="60"/>
      <c r="Y14" s="60"/>
      <c r="Z14" s="60">
        <f>IFERROR((DL)/(isospec!D12*EFw*1*ETw*(1/24)*IRAw)/Aeq_Feq!C12,0)</f>
        <v>0</v>
      </c>
      <c r="AA14" s="60">
        <f>IFERROR((DL)/(isospec!E12*EFw*(1/365)*1*ETw*(1/24)*GSFa)/Aeq_Feq!C12,0)</f>
        <v>53588349.276234299</v>
      </c>
      <c r="AB14" s="60">
        <f t="shared" si="10"/>
        <v>53588349.276234299</v>
      </c>
    </row>
    <row r="15" spans="1:28" x14ac:dyDescent="0.25">
      <c r="A15" s="57" t="str">
        <f>isospec!A13</f>
        <v>Rn-220~Tl-208</v>
      </c>
      <c r="B15" s="60">
        <f t="shared" si="6"/>
        <v>712.64135277344633</v>
      </c>
      <c r="C15" s="60">
        <f t="shared" si="7"/>
        <v>0.71264135277344631</v>
      </c>
      <c r="D15" s="60">
        <f>(H15/1000)*Aeq_Feq!E13</f>
        <v>0</v>
      </c>
      <c r="E15" s="60"/>
      <c r="F15" s="60"/>
      <c r="G15" s="60"/>
      <c r="H15" s="60">
        <f>IFERROR((DL)/(isospec!D13*IFAres_adj_d)/Aeq_Feq!B13,0)</f>
        <v>0</v>
      </c>
      <c r="I15" s="60">
        <f>IFERROR((DL)/(isospec!E13*EFres*(1/365)*1*ETres*(1/24)*GSFa)/Aeq_Feq!B13,0)</f>
        <v>712.64135277344633</v>
      </c>
      <c r="J15" s="60">
        <f t="shared" si="8"/>
        <v>712.64135277344633</v>
      </c>
      <c r="T15" s="60">
        <f t="shared" si="9"/>
        <v>12404.710480609789</v>
      </c>
      <c r="U15" s="60">
        <f t="shared" si="5"/>
        <v>12.404710480609788</v>
      </c>
      <c r="V15" s="60">
        <f>(Z15/1000)*Aeq_Feq!G13</f>
        <v>0</v>
      </c>
      <c r="W15" s="60"/>
      <c r="X15" s="60"/>
      <c r="Y15" s="60"/>
      <c r="Z15" s="60">
        <f>IFERROR((DL)/(isospec!D13*EFw*1*ETw*(1/24)*IRAw)/Aeq_Feq!C13,0)</f>
        <v>0</v>
      </c>
      <c r="AA15" s="60">
        <f>IFERROR((DL)/(isospec!E13*EFw*(1/365)*1*ETw*(1/24)*GSFa)/Aeq_Feq!C13,0)</f>
        <v>12404.710480609789</v>
      </c>
      <c r="AB15" s="60">
        <f t="shared" si="10"/>
        <v>12404.710480609789</v>
      </c>
    </row>
    <row r="16" spans="1:28" x14ac:dyDescent="0.25">
      <c r="A16" s="57" t="str">
        <f>isospec!A14</f>
        <v>Rn-222</v>
      </c>
      <c r="B16" s="59">
        <f>1/(SUM((1/B17),(1/B18),(1/B20),(1/B23),(1/B25),(1/B26),(1/B27),(1/B29)))</f>
        <v>1.8716527817731059</v>
      </c>
      <c r="C16" s="59">
        <f t="shared" ref="C16" si="11">1/(SUM((1/C17),(1/C18),(1/C20),(1/C23),(1/C25),(1/C26),(1/C27),(1/C29)))</f>
        <v>1.8716527817731056E-3</v>
      </c>
      <c r="D16" s="59">
        <f>IFERROR(1/(1/D17),0)</f>
        <v>2.1940061944905419E-4</v>
      </c>
      <c r="E16" s="59">
        <f>B16/AFss</f>
        <v>62.38842605910353</v>
      </c>
      <c r="F16" s="59">
        <f>(B16/AFss)/1000</f>
        <v>6.2388426059103531E-2</v>
      </c>
      <c r="G16" s="59">
        <f>IFERROR(B16/(AFgw*1000*isospec!M14),0)</f>
        <v>0.43194934309875194</v>
      </c>
      <c r="H16" s="59">
        <f>1/(SUM((1/H17),(1/H20),(1/H23),(1/H26)))</f>
        <v>1.8986006826634909</v>
      </c>
      <c r="I16" s="59">
        <f>1/(SUM((1/I17),(1/I18),(1/I20),(1/I23),(1/I25),(1/I26),(1/I27),(1/I29)))</f>
        <v>131.86634697960019</v>
      </c>
      <c r="J16" s="59">
        <f>1/(SUM((1/J17),(1/J18),(1/J20),(1/J23),(1/J25),(1/J26),(1/J27),(1/J29)))</f>
        <v>1.8716527817731059</v>
      </c>
      <c r="T16" s="59">
        <f>1/(SUM((1/T17),(1/T18),(1/T20),(1/T23),(1/T25),(1/T26),(1/T27),(1/T29)))</f>
        <v>3.0368302203736408</v>
      </c>
      <c r="U16" s="59">
        <f>1/(SUM((1/U17),(1/U18),(1/U20),(1/U23),(1/U25),(1/U26),(1/U27),(1/U29)))</f>
        <v>3.0368302203736411E-3</v>
      </c>
      <c r="V16" s="59">
        <f>1/(1/V17)</f>
        <v>2.2012095816793898E-4</v>
      </c>
      <c r="W16" s="59">
        <f>T16/AFss</f>
        <v>101.2276740124547</v>
      </c>
      <c r="X16" s="59">
        <f>(T16/AFss)/1000</f>
        <v>0.10122767401245469</v>
      </c>
      <c r="Y16" s="59">
        <f>IFERROR(T16/(AFgw*1000*isospec!M14),0)</f>
        <v>0.70085479078557644</v>
      </c>
      <c r="Z16" s="59">
        <f>1/(SUM((1/Z17),(1/Z20),(1/Z23),(1/Z26)))</f>
        <v>3.0481327595934649</v>
      </c>
      <c r="AA16" s="59">
        <f>1/(SUM((1/AA17),(1/AA18),(1/AA20),(1/AA23),(1/AA25),(1/AA26),(1/AA27),(1/AA29)))</f>
        <v>818.98956508898732</v>
      </c>
      <c r="AB16" s="59">
        <f>1/(SUM((1/AB17),(1/AB18),(1/AB20),(1/AB23),(1/AB25),(1/AB26),(1/AB27),(1/AB29)))</f>
        <v>3.0368302203736408</v>
      </c>
    </row>
    <row r="17" spans="1:37" x14ac:dyDescent="0.25">
      <c r="A17" s="23" t="s">
        <v>1</v>
      </c>
      <c r="B17" s="60">
        <f>J17</f>
        <v>24.653888756740514</v>
      </c>
      <c r="C17" s="60">
        <f>B17/1000</f>
        <v>2.4653888756740513E-2</v>
      </c>
      <c r="D17" s="60">
        <f>(H17/1000)*Aeq_Feq!E14</f>
        <v>2.1940061944905416E-4</v>
      </c>
      <c r="E17" s="60"/>
      <c r="F17" s="60"/>
      <c r="G17" s="60"/>
      <c r="H17" s="60">
        <f>IFERROR((DL)/(isospec!D14*IFAres_adj_d)/Aeq_Feq!B14,0)</f>
        <v>24.65506614195629</v>
      </c>
      <c r="I17" s="60">
        <f>IFERROR((DL)/(isospec!E14*EFres*(1/365)*1*ETres*(1/24)*GSFa)/Aeq_Feq!B14,0)</f>
        <v>516265.40728549397</v>
      </c>
      <c r="J17" s="60">
        <f>IFERROR(IF(AND(H17&lt;&gt;0,I17&lt;&gt;0),1/((1/H17)+(1/I17)),IF(AND(H17&lt;&gt;0,I17=0),1/(1/H17),IF(AND(H17=0,I17&lt;&gt;0),1/(1/I17),IF(AND(H17=0,I17=0),0)))),0)</f>
        <v>24.653888756740514</v>
      </c>
      <c r="T17" s="60">
        <f t="shared" ref="T17" si="12">AB17</f>
        <v>30.533921164341134</v>
      </c>
      <c r="U17" s="60">
        <f t="shared" si="5"/>
        <v>3.0533921164341133E-2</v>
      </c>
      <c r="V17" s="60">
        <f>(Z17/1000)*Aeq_Feq!G14</f>
        <v>2.2012095816793898E-4</v>
      </c>
      <c r="W17" s="60"/>
      <c r="X17" s="60"/>
      <c r="Y17" s="60"/>
      <c r="Z17" s="60">
        <f>IFERROR((DL)/(isospec!D14*EFw*1*ETw*(1/24)*IRAw)/Aeq_Feq!C14,0)</f>
        <v>30.534351145038173</v>
      </c>
      <c r="AA17" s="60">
        <f>IFERROR((DL)/(isospec!E14*EFw*(1/365)*1*ETw*(1/24)*GSFa)/Aeq_Feq!C14,0)</f>
        <v>2168314.7105990751</v>
      </c>
      <c r="AB17" s="60">
        <f t="shared" ref="AB17" si="13">IFERROR(IF(AND(Z17&lt;&gt;0,AA17&lt;&gt;0),1/((1/Z17)+(1/AA17)),IF(AND(Z17&lt;&gt;0,AA17=0),1/(1/Z17),IF(AND(Z17=0,AA17&lt;&gt;0),1/(1/AA17),IF(AND(Z17=0,AA17=0),0)))),0)</f>
        <v>30.533921164341134</v>
      </c>
    </row>
    <row r="18" spans="1:37" x14ac:dyDescent="0.25">
      <c r="A18" s="23" t="s">
        <v>108</v>
      </c>
      <c r="B18" s="60">
        <f t="shared" ref="B18:B29" si="14">J18</f>
        <v>46262258085.771507</v>
      </c>
      <c r="C18" s="60">
        <f t="shared" ref="C18:C29" si="15">B18/1000</f>
        <v>46262258.085771509</v>
      </c>
      <c r="D18" s="60">
        <f>(H18/1000)*Aeq_Feq!E15</f>
        <v>0</v>
      </c>
      <c r="E18" s="60"/>
      <c r="F18" s="60"/>
      <c r="G18" s="60"/>
      <c r="H18" s="60">
        <f>IFERROR((DL)/(isospec!D15*IFAres_adj_d)/Aeq_Feq!B15,0)</f>
        <v>0</v>
      </c>
      <c r="I18" s="60">
        <f>IFERROR((DL)/(isospec!E15*EFres*(1/365)*1*ETres*(1/24)*GSFa)/Aeq_Feq!B15,0)</f>
        <v>46262258085.771507</v>
      </c>
      <c r="J18" s="60">
        <f t="shared" ref="J18:J29" si="16">IFERROR(IF(AND(H18&lt;&gt;0,I18&lt;&gt;0),1/((1/H18)+(1/I18)),IF(AND(H18&lt;&gt;0,I18=0),1/(1/H18),IF(AND(H18=0,I18&lt;&gt;0),1/(1/I18),IF(AND(H18=0,I18=0),0)))),0)</f>
        <v>46262258085.771507</v>
      </c>
      <c r="T18" s="60">
        <f t="shared" ref="T18:T29" si="17">AB18</f>
        <v>200405195498.25836</v>
      </c>
      <c r="U18" s="60">
        <f t="shared" ref="U18:U29" si="18">T18/1000</f>
        <v>200405195.49825835</v>
      </c>
      <c r="V18" s="60">
        <f>(Z18/1000)*Aeq_Feq!G15</f>
        <v>0</v>
      </c>
      <c r="W18" s="60"/>
      <c r="X18" s="60"/>
      <c r="Y18" s="60"/>
      <c r="Z18" s="60">
        <f>IFERROR((DL)/(isospec!D15*EFw*1*ETw*(1/24)*IRAw)/Aeq_Feq!C15,0)</f>
        <v>0</v>
      </c>
      <c r="AA18" s="60">
        <f>IFERROR((DL)/(isospec!E15*EFw*(1/365)*1*ETw*(1/24)*GSFa)/Aeq_Feq!C15,0)</f>
        <v>200405195498.25836</v>
      </c>
      <c r="AB18" s="60">
        <f t="shared" ref="AB18:AB29" si="19">IFERROR(IF(AND(Z18&lt;&gt;0,AA18&lt;&gt;0),1/((1/Z18)+(1/AA18)),IF(AND(Z18&lt;&gt;0,AA18=0),1/(1/Z18),IF(AND(Z18=0,AA18&lt;&gt;0),1/(1/AA18),IF(AND(Z18=0,AA18=0),0)))),0)</f>
        <v>200405195498.25836</v>
      </c>
    </row>
    <row r="19" spans="1:37" x14ac:dyDescent="0.25">
      <c r="A19" s="23" t="s">
        <v>173</v>
      </c>
      <c r="B19" s="60">
        <f t="shared" si="14"/>
        <v>0</v>
      </c>
      <c r="C19" s="60">
        <f t="shared" si="15"/>
        <v>0</v>
      </c>
      <c r="D19" s="60">
        <f>(H19/1000)*Aeq_Feq!E16</f>
        <v>0</v>
      </c>
      <c r="E19" s="60"/>
      <c r="F19" s="60"/>
      <c r="G19" s="60"/>
      <c r="H19" s="60">
        <f>IFERROR((DL)/(isospec!D16*IFAres_adj_d)/Aeq_Feq!B16,0)</f>
        <v>0</v>
      </c>
      <c r="I19" s="60">
        <f>IFERROR((DL)/(isospec!E16*EFres*(1/365)*1*ETres*(1/24)*GSFa)/Aeq_Feq!B16,0)</f>
        <v>0</v>
      </c>
      <c r="J19" s="60">
        <f t="shared" si="16"/>
        <v>0</v>
      </c>
      <c r="T19" s="60">
        <f t="shared" si="17"/>
        <v>0</v>
      </c>
      <c r="U19" s="60">
        <f t="shared" si="18"/>
        <v>0</v>
      </c>
      <c r="V19" s="60">
        <f>(Z19/1000)*Aeq_Feq!G16</f>
        <v>0</v>
      </c>
      <c r="W19" s="60"/>
      <c r="X19" s="60"/>
      <c r="Y19" s="60"/>
      <c r="Z19" s="60">
        <f>IFERROR((DL)/(isospec!D16*EFw*1*ETw*(1/24)*IRAw)/Aeq_Feq!C16,0)</f>
        <v>0</v>
      </c>
      <c r="AA19" s="60">
        <f>IFERROR((DL)/(isospec!E16*EFw*(1/365)*1*ETw*(1/24)*GSFa)/Aeq_Feq!C16,0)</f>
        <v>0</v>
      </c>
      <c r="AB19" s="60">
        <f t="shared" si="19"/>
        <v>0</v>
      </c>
    </row>
    <row r="20" spans="1:37" x14ac:dyDescent="0.25">
      <c r="A20" s="23" t="s">
        <v>109</v>
      </c>
      <c r="B20" s="60">
        <f t="shared" si="14"/>
        <v>5.2365971638265716</v>
      </c>
      <c r="C20" s="60">
        <f t="shared" si="15"/>
        <v>5.2365971638265712E-3</v>
      </c>
      <c r="D20" s="60">
        <f>(H20/1000)*Aeq_Feq!E17</f>
        <v>0</v>
      </c>
      <c r="E20" s="60"/>
      <c r="F20" s="60"/>
      <c r="G20" s="60"/>
      <c r="H20" s="60">
        <f>IFERROR((DL)/(isospec!D17*IFAres_adj_d)/Aeq_Feq!B17,0)</f>
        <v>5.4205328617302975</v>
      </c>
      <c r="I20" s="60">
        <f>IFERROR((DL)/(isospec!E17*EFres*(1/365)*1*ETres*(1/24)*GSFa)/Aeq_Feq!B17,0)</f>
        <v>154.3210335658855</v>
      </c>
      <c r="J20" s="60">
        <f t="shared" si="16"/>
        <v>5.2365971638265716</v>
      </c>
      <c r="T20" s="60">
        <f t="shared" si="17"/>
        <v>10.090416680758882</v>
      </c>
      <c r="U20" s="60">
        <f t="shared" si="18"/>
        <v>1.0090416680758881E-2</v>
      </c>
      <c r="V20" s="60">
        <f>(Z20/1000)*Aeq_Feq!G17</f>
        <v>0</v>
      </c>
      <c r="W20" s="60"/>
      <c r="X20" s="60"/>
      <c r="Y20" s="60"/>
      <c r="Z20" s="60">
        <f>IFERROR((DL)/(isospec!D17*EFw*1*ETw*(1/24)*IRAw)/Aeq_Feq!C17,0)</f>
        <v>10.194927004322649</v>
      </c>
      <c r="AA20" s="60">
        <f>IFERROR((DL)/(isospec!E17*EFw*(1/365)*1*ETw*(1/24)*GSFa)/Aeq_Feq!C17,0)</f>
        <v>984.31483125942032</v>
      </c>
      <c r="AB20" s="60">
        <f t="shared" si="19"/>
        <v>10.090416680758882</v>
      </c>
    </row>
    <row r="21" spans="1:37" x14ac:dyDescent="0.25">
      <c r="A21" s="23" t="s">
        <v>174</v>
      </c>
      <c r="B21" s="60">
        <f t="shared" si="14"/>
        <v>0</v>
      </c>
      <c r="C21" s="60">
        <f t="shared" si="15"/>
        <v>0</v>
      </c>
      <c r="D21" s="60">
        <f>(H21/1000)*Aeq_Feq!E18</f>
        <v>0</v>
      </c>
      <c r="E21" s="60"/>
      <c r="F21" s="60"/>
      <c r="G21" s="60"/>
      <c r="H21" s="60">
        <f>IFERROR((DL)/(isospec!D18*IFAres_adj_d)/Aeq_Feq!B18,0)</f>
        <v>0</v>
      </c>
      <c r="I21" s="60">
        <f>IFERROR((DL)/(isospec!E18*EFres*(1/365)*1*ETres*(1/24)*GSFa)/Aeq_Feq!B18,0)</f>
        <v>0</v>
      </c>
      <c r="J21" s="60">
        <f t="shared" si="16"/>
        <v>0</v>
      </c>
      <c r="T21" s="60">
        <f t="shared" si="17"/>
        <v>0</v>
      </c>
      <c r="U21" s="60">
        <f t="shared" si="18"/>
        <v>0</v>
      </c>
      <c r="V21" s="60">
        <f>(Z21/1000)*Aeq_Feq!G18</f>
        <v>0</v>
      </c>
      <c r="W21" s="60"/>
      <c r="X21" s="60"/>
      <c r="Y21" s="60"/>
      <c r="Z21" s="60">
        <f>IFERROR((DL)/(isospec!D18*EFw*1*ETw*(1/24)*IRAw)/Aeq_Feq!C18,0)</f>
        <v>0</v>
      </c>
      <c r="AA21" s="60">
        <f>IFERROR((DL)/(isospec!E18*EFw*(1/365)*1*ETw*(1/24)*GSFa)/Aeq_Feq!C18,0)</f>
        <v>0</v>
      </c>
      <c r="AB21" s="60">
        <f t="shared" si="19"/>
        <v>0</v>
      </c>
    </row>
    <row r="22" spans="1:37" x14ac:dyDescent="0.25">
      <c r="A22" s="23" t="s">
        <v>175</v>
      </c>
      <c r="B22" s="60">
        <f t="shared" si="14"/>
        <v>0</v>
      </c>
      <c r="C22" s="60">
        <f t="shared" si="15"/>
        <v>0</v>
      </c>
      <c r="D22" s="60">
        <f>(H22/1000)*Aeq_Feq!E19</f>
        <v>0</v>
      </c>
      <c r="E22" s="60"/>
      <c r="F22" s="60"/>
      <c r="G22" s="60"/>
      <c r="H22" s="60">
        <f>IFERROR((DL)/(isospec!D19*IFAres_adj_d)/Aeq_Feq!B19,0)</f>
        <v>0</v>
      </c>
      <c r="I22" s="60">
        <f>IFERROR((DL)/(isospec!E19*EFres*(1/365)*1*ETres*(1/24)*GSFa)/Aeq_Feq!B19,0)</f>
        <v>0</v>
      </c>
      <c r="J22" s="60">
        <f t="shared" si="16"/>
        <v>0</v>
      </c>
      <c r="T22" s="60">
        <f t="shared" si="17"/>
        <v>0</v>
      </c>
      <c r="U22" s="60">
        <f t="shared" si="18"/>
        <v>0</v>
      </c>
      <c r="V22" s="60">
        <f>(Z22/1000)*Aeq_Feq!G19</f>
        <v>0</v>
      </c>
      <c r="W22" s="60"/>
      <c r="X22" s="60"/>
      <c r="Y22" s="60"/>
      <c r="Z22" s="60">
        <f>IFERROR((DL)/(isospec!D19*EFw*1*ETw*(1/24)*IRAw)/Aeq_Feq!C19,0)</f>
        <v>0</v>
      </c>
      <c r="AA22" s="60">
        <f>IFERROR((DL)/(isospec!E19*EFw*(1/365)*1*ETw*(1/24)*GSFa)/Aeq_Feq!C19,0)</f>
        <v>0</v>
      </c>
      <c r="AB22" s="60">
        <f t="shared" si="19"/>
        <v>0</v>
      </c>
    </row>
    <row r="23" spans="1:37" x14ac:dyDescent="0.25">
      <c r="A23" s="23" t="s">
        <v>107</v>
      </c>
      <c r="B23" s="60">
        <f t="shared" si="14"/>
        <v>3.9033980524966352</v>
      </c>
      <c r="C23" s="60">
        <f t="shared" si="15"/>
        <v>3.9033980524966353E-3</v>
      </c>
      <c r="D23" s="60">
        <f>(H23/1000)*Aeq_Feq!E20</f>
        <v>0</v>
      </c>
      <c r="E23" s="60"/>
      <c r="F23" s="60"/>
      <c r="G23" s="60"/>
      <c r="H23" s="60">
        <f>IFERROR((DL)/(isospec!D20*IFAres_adj_d)/Aeq_Feq!B20,0)</f>
        <v>3.9202096214488797</v>
      </c>
      <c r="I23" s="60">
        <f>IFERROR((DL)/(isospec!E20*EFres*(1/365)*1*ETres*(1/24)*GSFa)/Aeq_Feq!B20,0)</f>
        <v>910.21478395082227</v>
      </c>
      <c r="J23" s="60">
        <f t="shared" si="16"/>
        <v>3.9033980524966352</v>
      </c>
      <c r="T23" s="60">
        <f t="shared" si="17"/>
        <v>6.2121765607965154</v>
      </c>
      <c r="U23" s="60">
        <f t="shared" si="18"/>
        <v>6.2121765607965149E-3</v>
      </c>
      <c r="V23" s="60">
        <f>(Z23/1000)*Aeq_Feq!G20</f>
        <v>0</v>
      </c>
      <c r="W23" s="60"/>
      <c r="X23" s="60"/>
      <c r="Y23" s="60"/>
      <c r="Z23" s="60">
        <f>IFERROR((DL)/(isospec!D20*EFw*1*ETw*(1/24)*IRAw)/Aeq_Feq!C20,0)</f>
        <v>6.2200659326988879</v>
      </c>
      <c r="AA23" s="60">
        <f>IFERROR((DL)/(isospec!E20*EFw*(1/365)*1*ETw*(1/24)*GSFa)/Aeq_Feq!C20,0)</f>
        <v>4897.7470287719034</v>
      </c>
      <c r="AB23" s="60">
        <f t="shared" si="19"/>
        <v>6.2121765607965154</v>
      </c>
    </row>
    <row r="24" spans="1:37" x14ac:dyDescent="0.25">
      <c r="A24" s="23" t="s">
        <v>176</v>
      </c>
      <c r="B24" s="60">
        <f t="shared" si="14"/>
        <v>0</v>
      </c>
      <c r="C24" s="60">
        <f t="shared" si="15"/>
        <v>0</v>
      </c>
      <c r="D24" s="60">
        <f>(H24/1000)*Aeq_Feq!E21</f>
        <v>0</v>
      </c>
      <c r="E24" s="60"/>
      <c r="F24" s="60"/>
      <c r="G24" s="60"/>
      <c r="H24" s="60">
        <f>IFERROR((DL)/(isospec!D21*IFAres_adj_d)/Aeq_Feq!B21,0)</f>
        <v>0</v>
      </c>
      <c r="I24" s="60">
        <f>IFERROR((DL)/(isospec!E21*EFres*(1/365)*1*ETres*(1/24)*GSFa)/Aeq_Feq!B21,0)</f>
        <v>0</v>
      </c>
      <c r="J24" s="60">
        <f t="shared" si="16"/>
        <v>0</v>
      </c>
      <c r="T24" s="60">
        <f t="shared" si="17"/>
        <v>0</v>
      </c>
      <c r="U24" s="60">
        <f t="shared" si="18"/>
        <v>0</v>
      </c>
      <c r="V24" s="60">
        <f>(Z24/1000)*Aeq_Feq!G21</f>
        <v>0</v>
      </c>
      <c r="W24" s="60"/>
      <c r="X24" s="60"/>
      <c r="Y24" s="60"/>
      <c r="Z24" s="60">
        <f>IFERROR((DL)/(isospec!D21*EFw*1*ETw*(1/24)*IRAw)/Aeq_Feq!C21,0)</f>
        <v>0</v>
      </c>
      <c r="AA24" s="60">
        <f>IFERROR((DL)/(isospec!E21*EFw*(1/365)*1*ETw*(1/24)*GSFa)/Aeq_Feq!C21,0)</f>
        <v>0</v>
      </c>
      <c r="AB24" s="60">
        <f t="shared" si="19"/>
        <v>0</v>
      </c>
    </row>
    <row r="25" spans="1:37" x14ac:dyDescent="0.25">
      <c r="A25" s="23" t="s">
        <v>111</v>
      </c>
      <c r="B25" s="60">
        <f t="shared" si="14"/>
        <v>2887427.7596143312</v>
      </c>
      <c r="C25" s="60">
        <f t="shared" si="15"/>
        <v>2887.4277596143311</v>
      </c>
      <c r="D25" s="60">
        <f>(H25/1000)*Aeq_Feq!E22</f>
        <v>0</v>
      </c>
      <c r="E25" s="60"/>
      <c r="F25" s="60"/>
      <c r="G25" s="60"/>
      <c r="H25" s="60">
        <f>IFERROR((DL)/(isospec!D22*IFAres_adj_d)/Aeq_Feq!B22,0)</f>
        <v>0</v>
      </c>
      <c r="I25" s="60">
        <f>IFERROR((DL)/(isospec!E22*EFres*(1/365)*1*ETres*(1/24)*GSFa)/Aeq_Feq!B22,0)</f>
        <v>2887427.7596143312</v>
      </c>
      <c r="J25" s="60">
        <f t="shared" si="16"/>
        <v>2887427.7596143312</v>
      </c>
      <c r="T25" s="60">
        <f t="shared" si="17"/>
        <v>18417048.55330126</v>
      </c>
      <c r="U25" s="60">
        <f t="shared" si="18"/>
        <v>18417.048553301262</v>
      </c>
      <c r="V25" s="60">
        <f>(Z25/1000)*Aeq_Feq!G22</f>
        <v>0</v>
      </c>
      <c r="W25" s="60"/>
      <c r="X25" s="60"/>
      <c r="Y25" s="60"/>
      <c r="Z25" s="60">
        <f>IFERROR((DL)/(isospec!D22*EFw*1*ETw*(1/24)*IRAw)/Aeq_Feq!C22,0)</f>
        <v>0</v>
      </c>
      <c r="AA25" s="60">
        <f>IFERROR((DL)/(isospec!E22*EFw*(1/365)*1*ETw*(1/24)*GSFa)/Aeq_Feq!C22,0)</f>
        <v>18417048.55330126</v>
      </c>
      <c r="AB25" s="60">
        <f t="shared" si="19"/>
        <v>18417048.55330126</v>
      </c>
    </row>
    <row r="26" spans="1:37" x14ac:dyDescent="0.25">
      <c r="A26" s="23" t="s">
        <v>106</v>
      </c>
      <c r="B26" s="60">
        <f t="shared" si="14"/>
        <v>21.472140746481223</v>
      </c>
      <c r="C26" s="60">
        <f t="shared" si="15"/>
        <v>2.1472140746481225E-2</v>
      </c>
      <c r="D26" s="60">
        <f>(H26/1000)*Aeq_Feq!E23</f>
        <v>0</v>
      </c>
      <c r="E26" s="60"/>
      <c r="F26" s="60"/>
      <c r="G26" s="60"/>
      <c r="H26" s="60">
        <f>IFERROR((DL)/(isospec!D23*IFAres_adj_d)/Aeq_Feq!B23,0)</f>
        <v>21.472140879971615</v>
      </c>
      <c r="I26" s="60">
        <f>IFERROR((DL)/(isospec!E23*EFres*(1/365)*1*ETres*(1/24)*GSFa)/Aeq_Feq!B23,0)</f>
        <v>3453827832.8341141</v>
      </c>
      <c r="J26" s="60">
        <f t="shared" si="16"/>
        <v>21.472140746481223</v>
      </c>
      <c r="T26" s="60">
        <f t="shared" si="17"/>
        <v>27.426038779508591</v>
      </c>
      <c r="U26" s="60">
        <f t="shared" si="18"/>
        <v>2.7426038779508589E-2</v>
      </c>
      <c r="V26" s="60">
        <f>(Z26/1000)*Aeq_Feq!G23</f>
        <v>0</v>
      </c>
      <c r="W26" s="60"/>
      <c r="X26" s="60"/>
      <c r="Y26" s="60"/>
      <c r="Z26" s="60">
        <f>IFERROR((DL)/(isospec!D23*EFw*1*ETw*(1/24)*IRAw)/Aeq_Feq!C23,0)</f>
        <v>27.426038829785782</v>
      </c>
      <c r="AA26" s="60">
        <f>IFERROR((DL)/(isospec!E23*EFw*(1/365)*1*ETw*(1/24)*GSFa)/Aeq_Feq!C23,0)</f>
        <v>14960812850.815607</v>
      </c>
      <c r="AB26" s="60">
        <f t="shared" si="19"/>
        <v>27.426038779508591</v>
      </c>
    </row>
    <row r="27" spans="1:37" x14ac:dyDescent="0.25">
      <c r="A27" s="23" t="s">
        <v>110</v>
      </c>
      <c r="B27" s="60">
        <f t="shared" si="14"/>
        <v>1333441556589.8848</v>
      </c>
      <c r="C27" s="60">
        <f t="shared" si="15"/>
        <v>1333441556.5898848</v>
      </c>
      <c r="D27" s="60">
        <f>(H27/1000)*Aeq_Feq!E24</f>
        <v>0</v>
      </c>
      <c r="E27" s="60"/>
      <c r="F27" s="60"/>
      <c r="G27" s="60"/>
      <c r="H27" s="60">
        <f>IFERROR((DL)/(isospec!D24*IFAres_adj_d)/Aeq_Feq!B24,0)</f>
        <v>0</v>
      </c>
      <c r="I27" s="60">
        <f>IFERROR((DL)/(isospec!E24*EFres*(1/365)*1*ETres*(1/24)*GSFa)/Aeq_Feq!B24,0)</f>
        <v>1333441556589.8848</v>
      </c>
      <c r="J27" s="60">
        <f t="shared" si="16"/>
        <v>1333441556589.8848</v>
      </c>
      <c r="T27" s="60">
        <f t="shared" si="17"/>
        <v>5776385046714.5059</v>
      </c>
      <c r="U27" s="60">
        <f t="shared" si="18"/>
        <v>5776385046.7145061</v>
      </c>
      <c r="V27" s="60">
        <f>(Z27/1000)*Aeq_Feq!G24</f>
        <v>0</v>
      </c>
      <c r="W27" s="60"/>
      <c r="X27" s="60"/>
      <c r="Y27" s="60"/>
      <c r="Z27" s="60">
        <f>IFERROR((DL)/(isospec!D24*EFw*1*ETw*(1/24)*IRAw)/Aeq_Feq!C24,0)</f>
        <v>0</v>
      </c>
      <c r="AA27" s="60">
        <f>IFERROR((DL)/(isospec!E24*EFw*(1/365)*1*ETw*(1/24)*GSFa)/Aeq_Feq!C24,0)</f>
        <v>5776385046714.5059</v>
      </c>
      <c r="AB27" s="60">
        <f t="shared" si="19"/>
        <v>5776385046714.5059</v>
      </c>
    </row>
    <row r="28" spans="1:37" x14ac:dyDescent="0.25">
      <c r="A28" s="23" t="s">
        <v>177</v>
      </c>
      <c r="B28" s="60">
        <f t="shared" si="14"/>
        <v>0</v>
      </c>
      <c r="C28" s="60">
        <f t="shared" si="15"/>
        <v>0</v>
      </c>
      <c r="D28" s="60">
        <f>(H28/1000)*Aeq_Feq!E25</f>
        <v>0</v>
      </c>
      <c r="E28" s="60"/>
      <c r="F28" s="60"/>
      <c r="G28" s="60"/>
      <c r="H28" s="60">
        <f>IFERROR((DL)/(isospec!D25*IFAres_adj_d)/Aeq_Feq!B25,0)</f>
        <v>0</v>
      </c>
      <c r="I28" s="60">
        <f>IFERROR((DL)/(isospec!E25*EFres*(1/365)*1*ETres*(1/24)*GSFa)/Aeq_Feq!B25,0)</f>
        <v>0</v>
      </c>
      <c r="J28" s="60">
        <f t="shared" si="16"/>
        <v>0</v>
      </c>
      <c r="T28" s="60">
        <f t="shared" si="17"/>
        <v>0</v>
      </c>
      <c r="U28" s="60">
        <f t="shared" si="18"/>
        <v>0</v>
      </c>
      <c r="V28" s="60">
        <f>(Z28/1000)*Aeq_Feq!G25</f>
        <v>0</v>
      </c>
      <c r="W28" s="60"/>
      <c r="X28" s="60"/>
      <c r="Y28" s="60"/>
      <c r="Z28" s="60">
        <f>IFERROR((DL)/(isospec!D25*EFw*1*ETw*(1/24)*IRAw)/Aeq_Feq!C25,0)</f>
        <v>0</v>
      </c>
      <c r="AA28" s="60">
        <f>IFERROR((DL)/(isospec!E25*EFw*(1/365)*1*ETw*(1/24)*GSFa)/Aeq_Feq!C25,0)</f>
        <v>0</v>
      </c>
      <c r="AB28" s="60">
        <f t="shared" si="19"/>
        <v>0</v>
      </c>
    </row>
    <row r="29" spans="1:37" x14ac:dyDescent="0.25">
      <c r="A29" s="23" t="s">
        <v>112</v>
      </c>
      <c r="B29" s="60">
        <f t="shared" si="14"/>
        <v>398012.10098213231</v>
      </c>
      <c r="C29" s="60">
        <f t="shared" si="15"/>
        <v>398.01210098213232</v>
      </c>
      <c r="D29" s="60">
        <f>(H29/1000)*Aeq_Feq!E26</f>
        <v>0</v>
      </c>
      <c r="E29" s="60"/>
      <c r="F29" s="60"/>
      <c r="G29" s="60"/>
      <c r="H29" s="60">
        <f>IFERROR((DL)/(isospec!D26*IFAres_adj_d)/Aeq_Feq!B26,0)</f>
        <v>0</v>
      </c>
      <c r="I29" s="60">
        <f>IFERROR((DL)/(isospec!E26*EFres*(1/365)*1*ETres*(1/24)*GSFa)/Aeq_Feq!B26,0)</f>
        <v>398012.10098213225</v>
      </c>
      <c r="J29" s="60">
        <f t="shared" si="16"/>
        <v>398012.10098213231</v>
      </c>
      <c r="T29" s="60">
        <f t="shared" si="17"/>
        <v>2560185.9468580401</v>
      </c>
      <c r="U29" s="60">
        <f t="shared" si="18"/>
        <v>2560.1859468580401</v>
      </c>
      <c r="V29" s="60">
        <f>(Z29/1000)*Aeq_Feq!G26</f>
        <v>0</v>
      </c>
      <c r="W29" s="60"/>
      <c r="X29" s="60"/>
      <c r="Y29" s="60"/>
      <c r="Z29" s="60">
        <f>IFERROR((DL)/(isospec!D26*EFw*1*ETw*(1/24)*IRAw)/Aeq_Feq!C26,0)</f>
        <v>0</v>
      </c>
      <c r="AA29" s="60">
        <f>IFERROR((DL)/(isospec!E26*EFw*(1/365)*1*ETw*(1/24)*GSFa)/Aeq_Feq!C26,0)</f>
        <v>2560185.9468580401</v>
      </c>
      <c r="AB29" s="60">
        <f t="shared" si="19"/>
        <v>2560185.9468580401</v>
      </c>
    </row>
    <row r="30" spans="1:37" ht="19.5" thickBot="1" x14ac:dyDescent="0.35">
      <c r="A30" s="57"/>
      <c r="B30" s="116" t="s">
        <v>133</v>
      </c>
      <c r="C30" s="116"/>
      <c r="D30" s="116"/>
      <c r="E30" s="116"/>
      <c r="F30" s="116"/>
      <c r="G30" s="116"/>
      <c r="H30" s="116" t="s">
        <v>133</v>
      </c>
      <c r="I30" s="116"/>
      <c r="J30" s="116"/>
      <c r="K30" s="116"/>
      <c r="L30" s="116"/>
      <c r="M30" s="116"/>
      <c r="N30" s="116" t="s">
        <v>133</v>
      </c>
      <c r="O30" s="116"/>
      <c r="P30" s="116"/>
      <c r="Q30" s="116"/>
      <c r="R30" s="116"/>
      <c r="S30" s="116"/>
      <c r="T30" s="117" t="s">
        <v>134</v>
      </c>
      <c r="U30" s="117"/>
      <c r="V30" s="117"/>
      <c r="W30" s="117"/>
      <c r="X30" s="117"/>
      <c r="Y30" s="117"/>
      <c r="Z30" s="117" t="s">
        <v>134</v>
      </c>
      <c r="AA30" s="117"/>
      <c r="AB30" s="117"/>
      <c r="AC30" s="117"/>
      <c r="AD30" s="117"/>
      <c r="AE30" s="117"/>
      <c r="AF30" s="117" t="s">
        <v>134</v>
      </c>
      <c r="AG30" s="117"/>
      <c r="AH30" s="117"/>
      <c r="AI30" s="117"/>
      <c r="AJ30" s="117"/>
      <c r="AK30" s="117"/>
    </row>
    <row r="31" spans="1:37" ht="16.5" customHeight="1" x14ac:dyDescent="0.25">
      <c r="A31" s="62" t="s">
        <v>81</v>
      </c>
      <c r="B31" s="118" t="s">
        <v>178</v>
      </c>
      <c r="C31" s="112" t="s">
        <v>127</v>
      </c>
      <c r="D31" s="113"/>
      <c r="E31" s="112" t="s">
        <v>180</v>
      </c>
      <c r="F31" s="114"/>
      <c r="G31" s="115"/>
      <c r="H31" s="120" t="s">
        <v>151</v>
      </c>
      <c r="I31" s="112" t="s">
        <v>129</v>
      </c>
      <c r="J31" s="113"/>
      <c r="K31" s="112" t="s">
        <v>181</v>
      </c>
      <c r="L31" s="114"/>
      <c r="M31" s="115"/>
      <c r="N31" s="120" t="s">
        <v>152</v>
      </c>
      <c r="O31" s="112" t="s">
        <v>131</v>
      </c>
      <c r="P31" s="113"/>
      <c r="Q31" s="112" t="s">
        <v>182</v>
      </c>
      <c r="R31" s="114"/>
      <c r="S31" s="115"/>
      <c r="T31" s="118" t="s">
        <v>178</v>
      </c>
      <c r="U31" s="112" t="s">
        <v>127</v>
      </c>
      <c r="V31" s="113"/>
      <c r="W31" s="112" t="s">
        <v>180</v>
      </c>
      <c r="X31" s="114"/>
      <c r="Y31" s="115"/>
      <c r="Z31" s="110" t="s">
        <v>126</v>
      </c>
      <c r="AA31" s="112" t="s">
        <v>129</v>
      </c>
      <c r="AB31" s="113"/>
      <c r="AC31" s="112" t="s">
        <v>181</v>
      </c>
      <c r="AD31" s="114"/>
      <c r="AE31" s="115"/>
      <c r="AF31" s="110" t="s">
        <v>128</v>
      </c>
      <c r="AG31" s="112" t="s">
        <v>131</v>
      </c>
      <c r="AH31" s="113"/>
      <c r="AI31" s="112" t="s">
        <v>182</v>
      </c>
      <c r="AJ31" s="114"/>
      <c r="AK31" s="115"/>
    </row>
    <row r="32" spans="1:37" ht="16.5" customHeight="1" x14ac:dyDescent="0.25">
      <c r="A32" s="57" t="s">
        <v>77</v>
      </c>
      <c r="B32" s="119"/>
      <c r="C32" s="63" t="s">
        <v>120</v>
      </c>
      <c r="D32" s="64" t="s">
        <v>121</v>
      </c>
      <c r="E32" s="63" t="s">
        <v>183</v>
      </c>
      <c r="F32" s="65" t="s">
        <v>184</v>
      </c>
      <c r="G32" s="66" t="s">
        <v>185</v>
      </c>
      <c r="H32" s="121"/>
      <c r="I32" s="63" t="s">
        <v>120</v>
      </c>
      <c r="J32" s="64" t="s">
        <v>121</v>
      </c>
      <c r="K32" s="63" t="s">
        <v>183</v>
      </c>
      <c r="L32" s="65" t="s">
        <v>184</v>
      </c>
      <c r="M32" s="66" t="s">
        <v>185</v>
      </c>
      <c r="N32" s="121"/>
      <c r="O32" s="63" t="s">
        <v>120</v>
      </c>
      <c r="P32" s="64" t="s">
        <v>121</v>
      </c>
      <c r="Q32" s="63" t="s">
        <v>183</v>
      </c>
      <c r="R32" s="65" t="s">
        <v>184</v>
      </c>
      <c r="S32" s="66" t="s">
        <v>185</v>
      </c>
      <c r="T32" s="119"/>
      <c r="U32" s="63" t="s">
        <v>120</v>
      </c>
      <c r="V32" s="64" t="s">
        <v>121</v>
      </c>
      <c r="W32" s="63" t="s">
        <v>183</v>
      </c>
      <c r="X32" s="65" t="s">
        <v>184</v>
      </c>
      <c r="Y32" s="66" t="s">
        <v>185</v>
      </c>
      <c r="Z32" s="111"/>
      <c r="AA32" s="63" t="s">
        <v>120</v>
      </c>
      <c r="AB32" s="64" t="s">
        <v>121</v>
      </c>
      <c r="AC32" s="63" t="s">
        <v>183</v>
      </c>
      <c r="AD32" s="65" t="s">
        <v>184</v>
      </c>
      <c r="AE32" s="66" t="s">
        <v>185</v>
      </c>
      <c r="AF32" s="111"/>
      <c r="AG32" s="63" t="s">
        <v>120</v>
      </c>
      <c r="AH32" s="64" t="s">
        <v>121</v>
      </c>
      <c r="AI32" s="63" t="s">
        <v>183</v>
      </c>
      <c r="AJ32" s="65" t="s">
        <v>184</v>
      </c>
      <c r="AK32" s="66" t="s">
        <v>185</v>
      </c>
    </row>
    <row r="33" spans="1:37" x14ac:dyDescent="0.25">
      <c r="A33" s="57" t="str">
        <f>isospec!A2</f>
        <v>Rn-219</v>
      </c>
      <c r="B33" s="102" t="s">
        <v>169</v>
      </c>
      <c r="C33" s="103" t="s">
        <v>179</v>
      </c>
      <c r="D33" s="104">
        <f>Cia_219*(Aeq_Feq!$E$2)</f>
        <v>2.6447554629629631E-2</v>
      </c>
      <c r="E33" s="67">
        <f>SUM(E34:E39)</f>
        <v>1347.345095384615</v>
      </c>
      <c r="F33" s="68">
        <f>SUM(F34:F39)</f>
        <v>4.2059724183360494</v>
      </c>
      <c r="G33" s="69">
        <f>SUM(E33:F33)</f>
        <v>1351.5510678029511</v>
      </c>
      <c r="H33" s="102" t="s">
        <v>169</v>
      </c>
      <c r="I33" s="103" t="s">
        <v>179</v>
      </c>
      <c r="J33" s="104">
        <f>(H34/1000)*(Aeq_Feq!$E$2)</f>
        <v>1.1459825089333608E-4</v>
      </c>
      <c r="K33" s="67">
        <f>SUM(K34:K39)</f>
        <v>5.8380970733608502</v>
      </c>
      <c r="L33" s="68">
        <f>SUM(L34:L39)</f>
        <v>1.8224636991842597E-2</v>
      </c>
      <c r="M33" s="69">
        <f>SUM(K33:L33)</f>
        <v>5.8563217103526926</v>
      </c>
      <c r="N33" s="102" t="s">
        <v>169</v>
      </c>
      <c r="O33" s="103" t="s">
        <v>179</v>
      </c>
      <c r="P33" s="104">
        <f>(N34/1000)*(Aeq_Feq!$E$2)</f>
        <v>7.9342663888888883E-7</v>
      </c>
      <c r="Q33" s="67">
        <f>SUM(Q34:Q39)</f>
        <v>4.0420352861538451E-2</v>
      </c>
      <c r="R33" s="68">
        <f>SUM(R34:R39)</f>
        <v>1.2617917255008145E-4</v>
      </c>
      <c r="S33" s="69">
        <f>SUM(Q33:R33)</f>
        <v>4.0546532034088534E-2</v>
      </c>
      <c r="T33" s="102" t="s">
        <v>169</v>
      </c>
      <c r="U33" s="103" t="s">
        <v>179</v>
      </c>
      <c r="V33" s="104">
        <f>Cia_222*(Aeq_Feq!$G$2)</f>
        <v>1.9688756882716048E-2</v>
      </c>
      <c r="W33" s="67">
        <f>SUM(W34:W39)</f>
        <v>827.13499999999988</v>
      </c>
      <c r="X33" s="68">
        <f>SUM(X34:X39)</f>
        <v>0.83707883000940808</v>
      </c>
      <c r="Y33" s="69">
        <f>SUM(W33:X33)</f>
        <v>827.97207883000931</v>
      </c>
      <c r="Z33" s="102" t="s">
        <v>169</v>
      </c>
      <c r="AA33" s="103" t="s">
        <v>179</v>
      </c>
      <c r="AB33" s="104">
        <f>(Z34/1000)*(Aeq_Feq!$G$2)</f>
        <v>8.5312125548863581E-5</v>
      </c>
      <c r="AC33" s="67">
        <f>SUM(AC34:AC39)</f>
        <v>3.5840071258031068</v>
      </c>
      <c r="AD33" s="68">
        <f>SUM(AD34:AD39)</f>
        <v>3.6270941159697581E-3</v>
      </c>
      <c r="AE33" s="69">
        <f>SUM(AC33:AD33)</f>
        <v>3.5876342199190767</v>
      </c>
      <c r="AF33" s="102" t="s">
        <v>169</v>
      </c>
      <c r="AG33" s="103" t="s">
        <v>179</v>
      </c>
      <c r="AH33" s="104">
        <f>(AF34/1000)*(Aeq_Feq!$G$2)</f>
        <v>5.9066270648148142E-7</v>
      </c>
      <c r="AI33" s="67">
        <f>SUM(AI34:AI39)</f>
        <v>2.4814049999999994E-2</v>
      </c>
      <c r="AJ33" s="68">
        <f>SUM(AJ34:AJ39)</f>
        <v>2.5112364900282241E-5</v>
      </c>
      <c r="AK33" s="69">
        <f>SUM(AI33:AJ33)</f>
        <v>2.4839162364900275E-2</v>
      </c>
    </row>
    <row r="34" spans="1:37" x14ac:dyDescent="0.25">
      <c r="A34" s="57" t="str">
        <f>isospec!A2</f>
        <v>Rn-219</v>
      </c>
      <c r="B34" s="75">
        <f>Cia_219*1000</f>
        <v>5000</v>
      </c>
      <c r="C34" s="71">
        <f t="shared" ref="C34:C39" si="20">IFERROR(B34*IFAres_adj_d,".")</f>
        <v>30961538.461538453</v>
      </c>
      <c r="D34" s="72">
        <f t="shared" ref="D34:D39" si="21">IFERROR(B34*EFres*(1/365)*1*ETres*(1/24)*GSFa,".")</f>
        <v>4794.5205479452052</v>
      </c>
      <c r="E34" s="71">
        <f>C34*isospec!$D2</f>
        <v>0</v>
      </c>
      <c r="F34" s="73">
        <f>D34*isospec!$E2</f>
        <v>1.4331473358904108</v>
      </c>
      <c r="G34" s="74">
        <f>SUM(E34:F34)</f>
        <v>1.4331473358904108</v>
      </c>
      <c r="H34" s="70">
        <f>IFERROR(Cia_219*(AFgw*1000*isospec!$M2),".")</f>
        <v>21.66518842633371</v>
      </c>
      <c r="I34" s="71">
        <f t="shared" ref="I34:I39" si="22">IFERROR(H34*IFAres_adj_d,".")</f>
        <v>134157.5129476818</v>
      </c>
      <c r="J34" s="72">
        <f t="shared" ref="J34:J39" si="23">IFERROR(H34*EFres*(1/365)*1*ETres*(1/24)*GSFa,".")</f>
        <v>20.774838217032325</v>
      </c>
      <c r="K34" s="71">
        <f>IFERROR(I34*isospec!$D2,".")</f>
        <v>0</v>
      </c>
      <c r="L34" s="73">
        <f>IFERROR(J34*isospec!$E2,".")</f>
        <v>6.2098814149527844E-3</v>
      </c>
      <c r="M34" s="74">
        <f>SUM(K34:L34)</f>
        <v>6.2098814149527844E-3</v>
      </c>
      <c r="N34" s="70">
        <f>Cia_219*AFss</f>
        <v>0.15</v>
      </c>
      <c r="O34" s="71">
        <f t="shared" ref="O34:O39" si="24">IFERROR(N34*IFAres_adj_d,".")</f>
        <v>928.84615384615358</v>
      </c>
      <c r="P34" s="72">
        <f t="shared" ref="P34:P39" si="25">IFERROR(N34*EFres*(1/365)*1*ETres*(1/24)*GSFa,".")</f>
        <v>0.14383561643835613</v>
      </c>
      <c r="Q34" s="71">
        <f>O34*isospec!$D2</f>
        <v>0</v>
      </c>
      <c r="R34" s="73">
        <f>P34*isospec!$E2</f>
        <v>4.2994420076712316E-5</v>
      </c>
      <c r="S34" s="74">
        <f>SUM(Q34:R34)</f>
        <v>4.2994420076712316E-5</v>
      </c>
      <c r="T34" s="75">
        <f>Cia_219*1000</f>
        <v>5000</v>
      </c>
      <c r="U34" s="71">
        <f t="shared" ref="U34:U39" si="26">IFERROR(T34*EFw*1*ETw*(1/24)*IRAw,".")</f>
        <v>24999999.999999996</v>
      </c>
      <c r="V34" s="72">
        <f t="shared" ref="V34:V39" si="27">IFERROR(T34*EFw*(1/365)*1*ETw*(1/24)*GSFa,".")</f>
        <v>1141.552511415525</v>
      </c>
      <c r="W34" s="71">
        <f>U34*isospec!$D2</f>
        <v>0</v>
      </c>
      <c r="X34" s="73">
        <f>V34*isospec!$E2</f>
        <v>0.34122555616438349</v>
      </c>
      <c r="Y34" s="74">
        <f>SUM(W34:X34)</f>
        <v>0.34122555616438349</v>
      </c>
      <c r="Z34" s="70">
        <f>IFERROR(Cia_219*(AFgw*1000*isospec!$M2),".")</f>
        <v>21.66518842633371</v>
      </c>
      <c r="AA34" s="71">
        <f t="shared" ref="AA34:AA39" si="28">IFERROR(Z34*EFw*1*ETw*(1/24)*IRAw,".")</f>
        <v>108325.94213166853</v>
      </c>
      <c r="AB34" s="72">
        <f t="shared" ref="AB34:AB39" si="29">IFERROR(Z34*EFw*(1/365)*1*ETw*(1/24)*GSFa,".")</f>
        <v>4.9463900516743626</v>
      </c>
      <c r="AC34" s="71">
        <f>IFERROR(AA34*isospec!$D2,".")</f>
        <v>0</v>
      </c>
      <c r="AD34" s="73">
        <f>IFERROR(AB34*isospec!$E2,".")</f>
        <v>1.4785431940363769E-3</v>
      </c>
      <c r="AE34" s="74">
        <f>SUM(AC34:AD34)</f>
        <v>1.4785431940363769E-3</v>
      </c>
      <c r="AF34" s="70">
        <f>Cia_219*AFss</f>
        <v>0.15</v>
      </c>
      <c r="AG34" s="71">
        <f t="shared" ref="AG34:AG39" si="30">IFERROR(AF34*EFw*1*ETw*(1/24)*IRAw,".")</f>
        <v>750</v>
      </c>
      <c r="AH34" s="72">
        <f t="shared" ref="AH34:AH39" si="31">IFERROR(AF34*EFw*(1/365)*1*ETw*(1/24)*GSFa,".")</f>
        <v>3.4246575342465752E-2</v>
      </c>
      <c r="AI34" s="71">
        <f>AG34*isospec!$D2</f>
        <v>0</v>
      </c>
      <c r="AJ34" s="73">
        <f>AH34*isospec!$E2</f>
        <v>1.0236766684931506E-5</v>
      </c>
      <c r="AK34" s="74">
        <f>SUM(AI34:AJ34)</f>
        <v>1.0236766684931506E-5</v>
      </c>
    </row>
    <row r="35" spans="1:37" x14ac:dyDescent="0.25">
      <c r="A35" s="57" t="str">
        <f>isospec!A3</f>
        <v>Rn-219~Bi-211</v>
      </c>
      <c r="B35" s="70">
        <f>B$34*Aeq_Feq!$B3</f>
        <v>4284.5</v>
      </c>
      <c r="C35" s="71">
        <f t="shared" si="20"/>
        <v>26530942.307692301</v>
      </c>
      <c r="D35" s="72">
        <f t="shared" si="21"/>
        <v>4108.4246575342459</v>
      </c>
      <c r="E35" s="71">
        <f>C35*isospec!$D3</f>
        <v>0</v>
      </c>
      <c r="F35" s="73">
        <f>D35*isospec!$E3</f>
        <v>0.99300483628816416</v>
      </c>
      <c r="G35" s="74">
        <f t="shared" ref="G35:G39" si="32">SUM(E35:F35)</f>
        <v>0.99300483628816416</v>
      </c>
      <c r="H35" s="70">
        <f>H$34*Aeq_Feq!$B3</f>
        <v>18.564899962525356</v>
      </c>
      <c r="I35" s="71">
        <f t="shared" si="22"/>
        <v>114959.57284486851</v>
      </c>
      <c r="J35" s="72">
        <f t="shared" si="23"/>
        <v>17.801958868174999</v>
      </c>
      <c r="K35" s="71">
        <f>IFERROR(I35*isospec!$D3,".")</f>
        <v>0</v>
      </c>
      <c r="L35" s="73">
        <f>IFERROR(J35*isospec!$E3,".")</f>
        <v>4.3027273772887481E-3</v>
      </c>
      <c r="M35" s="74">
        <f t="shared" ref="M35:M39" si="33">SUM(K35:L35)</f>
        <v>4.3027273772887481E-3</v>
      </c>
      <c r="N35" s="70">
        <f>N$34*Aeq_Feq!$B3</f>
        <v>0.12853499999999998</v>
      </c>
      <c r="O35" s="71">
        <f t="shared" si="24"/>
        <v>795.92826923076893</v>
      </c>
      <c r="P35" s="72">
        <f t="shared" si="25"/>
        <v>0.12325273972602738</v>
      </c>
      <c r="Q35" s="71">
        <f>O35*isospec!$D3</f>
        <v>0</v>
      </c>
      <c r="R35" s="73">
        <f>P35*isospec!$E3</f>
        <v>2.9790145088644926E-5</v>
      </c>
      <c r="S35" s="74">
        <f t="shared" ref="S35:S39" si="34">SUM(Q35:R35)</f>
        <v>2.9790145088644926E-5</v>
      </c>
      <c r="T35" s="70">
        <f>T$34*Aeq_Feq!$C3</f>
        <v>3189</v>
      </c>
      <c r="U35" s="71">
        <f t="shared" si="26"/>
        <v>15945000</v>
      </c>
      <c r="V35" s="72">
        <f t="shared" si="27"/>
        <v>728.08219178082186</v>
      </c>
      <c r="W35" s="71">
        <f>U35*isospec!$D3</f>
        <v>0</v>
      </c>
      <c r="X35" s="73">
        <f>V35*isospec!$E3</f>
        <v>0.17597721704054792</v>
      </c>
      <c r="Y35" s="74">
        <f t="shared" ref="Y35:Y39" si="35">SUM(W35:X35)</f>
        <v>0.17597721704054792</v>
      </c>
      <c r="Z35" s="70">
        <f>Z$34*Aeq_Feq!$C3</f>
        <v>13.818057178315641</v>
      </c>
      <c r="AA35" s="71">
        <f t="shared" si="28"/>
        <v>69090.285891578198</v>
      </c>
      <c r="AB35" s="72">
        <f t="shared" si="29"/>
        <v>3.1548075749579088</v>
      </c>
      <c r="AC35" s="71">
        <f>IFERROR(AA35*isospec!$D3,".")</f>
        <v>0</v>
      </c>
      <c r="AD35" s="73">
        <f>IFERROR(AB35*isospec!$E3,".")</f>
        <v>7.6251591318505889E-4</v>
      </c>
      <c r="AE35" s="74">
        <f t="shared" ref="AE35:AE39" si="36">SUM(AC35:AD35)</f>
        <v>7.6251591318505889E-4</v>
      </c>
      <c r="AF35" s="70">
        <f>AF$34*Aeq_Feq!$C3</f>
        <v>9.5670000000000005E-2</v>
      </c>
      <c r="AG35" s="71">
        <f t="shared" si="30"/>
        <v>478.35</v>
      </c>
      <c r="AH35" s="72">
        <f t="shared" si="31"/>
        <v>2.1842465753424654E-2</v>
      </c>
      <c r="AI35" s="71">
        <f>AG35*isospec!$D3</f>
        <v>0</v>
      </c>
      <c r="AJ35" s="73">
        <f>AH35*isospec!$E3</f>
        <v>5.279316511216438E-6</v>
      </c>
      <c r="AK35" s="74">
        <f t="shared" ref="AK35:AK39" si="37">SUM(AI35:AJ35)</f>
        <v>5.279316511216438E-6</v>
      </c>
    </row>
    <row r="36" spans="1:37" x14ac:dyDescent="0.25">
      <c r="A36" s="57" t="str">
        <f>isospec!A4</f>
        <v>Rn-219~Pb-211</v>
      </c>
      <c r="B36" s="70">
        <f>B$34*Aeq_Feq!$B4</f>
        <v>4324</v>
      </c>
      <c r="C36" s="71">
        <f t="shared" si="20"/>
        <v>26775538.461538453</v>
      </c>
      <c r="D36" s="72">
        <f t="shared" si="21"/>
        <v>4146.3013698630139</v>
      </c>
      <c r="E36" s="71">
        <f>C36*isospec!$D4</f>
        <v>1347.345095384615</v>
      </c>
      <c r="F36" s="73">
        <f>D36*isospec!$E4</f>
        <v>1.5589149717856439</v>
      </c>
      <c r="G36" s="74">
        <f t="shared" si="32"/>
        <v>1348.9040103564007</v>
      </c>
      <c r="H36" s="70">
        <f>H$34*Aeq_Feq!$B4</f>
        <v>18.736054951093394</v>
      </c>
      <c r="I36" s="71">
        <f t="shared" si="22"/>
        <v>116019.41719715521</v>
      </c>
      <c r="J36" s="72">
        <f t="shared" si="23"/>
        <v>17.966080090089555</v>
      </c>
      <c r="K36" s="71">
        <f>IFERROR(I36*isospec!$D4,".")</f>
        <v>5.8380970733608502</v>
      </c>
      <c r="L36" s="73">
        <f>IFERROR(J36*isospec!$E4,".")</f>
        <v>6.7548373208737352E-3</v>
      </c>
      <c r="M36" s="74">
        <f t="shared" si="33"/>
        <v>5.844851910681724</v>
      </c>
      <c r="N36" s="70">
        <f>N$34*Aeq_Feq!$B4</f>
        <v>0.12972</v>
      </c>
      <c r="O36" s="71">
        <f t="shared" si="24"/>
        <v>803.26615384615366</v>
      </c>
      <c r="P36" s="72">
        <f t="shared" si="25"/>
        <v>0.1243890410958904</v>
      </c>
      <c r="Q36" s="71">
        <f>O36*isospec!$D4</f>
        <v>4.0420352861538451E-2</v>
      </c>
      <c r="R36" s="73">
        <f>P36*isospec!$E4</f>
        <v>4.6767449153569312E-5</v>
      </c>
      <c r="S36" s="74">
        <f t="shared" si="34"/>
        <v>4.0467120310692023E-2</v>
      </c>
      <c r="T36" s="70">
        <f>T$34*Aeq_Feq!$C4</f>
        <v>3287.5</v>
      </c>
      <c r="U36" s="71">
        <f t="shared" si="26"/>
        <v>16437499.999999998</v>
      </c>
      <c r="V36" s="72">
        <f t="shared" si="27"/>
        <v>750.57077625570776</v>
      </c>
      <c r="W36" s="71">
        <f>U36*isospec!$D4</f>
        <v>827.13499999999988</v>
      </c>
      <c r="X36" s="73">
        <f>V36*isospec!$E4</f>
        <v>0.2821975336849315</v>
      </c>
      <c r="Y36" s="74">
        <f t="shared" si="35"/>
        <v>827.41719753368477</v>
      </c>
      <c r="Z36" s="70">
        <f>Z$34*Aeq_Feq!$C4</f>
        <v>14.244861390314414</v>
      </c>
      <c r="AA36" s="71">
        <f t="shared" si="28"/>
        <v>71224.306951572071</v>
      </c>
      <c r="AB36" s="72">
        <f t="shared" si="29"/>
        <v>3.2522514589758935</v>
      </c>
      <c r="AC36" s="71">
        <f>IFERROR(AA36*isospec!$D4,".")</f>
        <v>3.5840071258031068</v>
      </c>
      <c r="AD36" s="73">
        <f>IFERROR(AB36*isospec!$E4,".")</f>
        <v>1.2227725481461389E-3</v>
      </c>
      <c r="AE36" s="74">
        <f t="shared" si="36"/>
        <v>3.5852298983512529</v>
      </c>
      <c r="AF36" s="70">
        <f>AF$34*Aeq_Feq!$C4</f>
        <v>9.862499999999999E-2</v>
      </c>
      <c r="AG36" s="71">
        <f t="shared" si="30"/>
        <v>493.12499999999989</v>
      </c>
      <c r="AH36" s="72">
        <f t="shared" si="31"/>
        <v>2.2517123287671227E-2</v>
      </c>
      <c r="AI36" s="71">
        <f>AG36*isospec!$D4</f>
        <v>2.4814049999999994E-2</v>
      </c>
      <c r="AJ36" s="73">
        <f>AH36*isospec!$E4</f>
        <v>8.4659260105479429E-6</v>
      </c>
      <c r="AK36" s="74">
        <f t="shared" si="37"/>
        <v>2.4822515926010542E-2</v>
      </c>
    </row>
    <row r="37" spans="1:37" x14ac:dyDescent="0.25">
      <c r="A37" s="57" t="str">
        <f>isospec!A5</f>
        <v>Rn-219~Po-211</v>
      </c>
      <c r="B37" s="70">
        <f>B$34*Aeq_Feq!$B5</f>
        <v>11.999999999999998</v>
      </c>
      <c r="C37" s="71">
        <f t="shared" si="20"/>
        <v>74307.692307692269</v>
      </c>
      <c r="D37" s="72">
        <f t="shared" si="21"/>
        <v>11.506849315068489</v>
      </c>
      <c r="E37" s="71">
        <f>C37*isospec!$D5</f>
        <v>0</v>
      </c>
      <c r="F37" s="73">
        <f>D37*isospec!$E5</f>
        <v>5.0115370901917785E-4</v>
      </c>
      <c r="G37" s="74">
        <f t="shared" si="32"/>
        <v>5.0115370901917785E-4</v>
      </c>
      <c r="H37" s="70">
        <f>H$34*Aeq_Feq!$B5</f>
        <v>5.1996452223200901E-2</v>
      </c>
      <c r="I37" s="71">
        <f t="shared" si="22"/>
        <v>321.97803107443627</v>
      </c>
      <c r="J37" s="72">
        <f t="shared" si="23"/>
        <v>4.9859611720877578E-2</v>
      </c>
      <c r="K37" s="71">
        <f>IFERROR(I37*isospec!$D5,".")</f>
        <v>0</v>
      </c>
      <c r="L37" s="73">
        <f>IFERROR(J37*isospec!$E5,".")</f>
        <v>2.1715179072913015E-6</v>
      </c>
      <c r="M37" s="74">
        <f t="shared" si="33"/>
        <v>2.1715179072913015E-6</v>
      </c>
      <c r="N37" s="70">
        <f>N$34*Aeq_Feq!$B5</f>
        <v>3.5999999999999997E-4</v>
      </c>
      <c r="O37" s="71">
        <f t="shared" si="24"/>
        <v>2.2292307692307682</v>
      </c>
      <c r="P37" s="72">
        <f t="shared" si="25"/>
        <v>3.4520547945205479E-4</v>
      </c>
      <c r="Q37" s="71">
        <f>O37*isospec!$D5</f>
        <v>0</v>
      </c>
      <c r="R37" s="73">
        <f>P37*isospec!$E5</f>
        <v>1.5034611270575341E-8</v>
      </c>
      <c r="S37" s="74">
        <f t="shared" si="34"/>
        <v>1.5034611270575341E-8</v>
      </c>
      <c r="T37" s="70">
        <f>T$34*Aeq_Feq!$C5</f>
        <v>9</v>
      </c>
      <c r="U37" s="71">
        <f t="shared" si="26"/>
        <v>45000</v>
      </c>
      <c r="V37" s="72">
        <f t="shared" si="27"/>
        <v>2.054794520547945</v>
      </c>
      <c r="W37" s="71">
        <f>U37*isospec!$D5</f>
        <v>0</v>
      </c>
      <c r="X37" s="73">
        <f>V37*isospec!$E5</f>
        <v>8.9491733753424639E-5</v>
      </c>
      <c r="Y37" s="74">
        <f t="shared" si="35"/>
        <v>8.9491733753424639E-5</v>
      </c>
      <c r="Z37" s="70">
        <f>Z$34*Aeq_Feq!$C5</f>
        <v>3.8997339167400676E-2</v>
      </c>
      <c r="AA37" s="71">
        <f t="shared" si="28"/>
        <v>194.98669583700337</v>
      </c>
      <c r="AB37" s="72">
        <f t="shared" si="29"/>
        <v>8.9035020930138525E-3</v>
      </c>
      <c r="AC37" s="71">
        <f>IFERROR(AA37*isospec!$D5,".")</f>
        <v>0</v>
      </c>
      <c r="AD37" s="73">
        <f>IFERROR(AB37*isospec!$E5,".")</f>
        <v>3.8777105487344666E-7</v>
      </c>
      <c r="AE37" s="74">
        <f t="shared" si="36"/>
        <v>3.8777105487344666E-7</v>
      </c>
      <c r="AF37" s="70">
        <f>AF$34*Aeq_Feq!$C5</f>
        <v>2.7E-4</v>
      </c>
      <c r="AG37" s="71">
        <f t="shared" si="30"/>
        <v>1.3499999999999999</v>
      </c>
      <c r="AH37" s="72">
        <f t="shared" si="31"/>
        <v>6.1643835616438354E-5</v>
      </c>
      <c r="AI37" s="71">
        <f>AG37*isospec!$D5</f>
        <v>0</v>
      </c>
      <c r="AJ37" s="73">
        <f>AH37*isospec!$E5</f>
        <v>2.6847520126027394E-9</v>
      </c>
      <c r="AK37" s="74">
        <f t="shared" si="37"/>
        <v>2.6847520126027394E-9</v>
      </c>
    </row>
    <row r="38" spans="1:37" x14ac:dyDescent="0.25">
      <c r="A38" s="57" t="str">
        <f>isospec!A6</f>
        <v>Rn-219~Po-215</v>
      </c>
      <c r="B38" s="70">
        <f>B$34*Aeq_Feq!$B6</f>
        <v>5000</v>
      </c>
      <c r="C38" s="71">
        <f t="shared" si="20"/>
        <v>30961538.461538453</v>
      </c>
      <c r="D38" s="72">
        <f t="shared" si="21"/>
        <v>4794.5205479452052</v>
      </c>
      <c r="E38" s="71">
        <f>C38*isospec!$D6</f>
        <v>0</v>
      </c>
      <c r="F38" s="73">
        <f>D38*isospec!$E6</f>
        <v>4.3666207890410954E-3</v>
      </c>
      <c r="G38" s="74">
        <f t="shared" si="32"/>
        <v>4.3666207890410954E-3</v>
      </c>
      <c r="H38" s="70">
        <f>H$34*Aeq_Feq!$B6</f>
        <v>21.66518842633371</v>
      </c>
      <c r="I38" s="71">
        <f t="shared" si="22"/>
        <v>134157.5129476818</v>
      </c>
      <c r="J38" s="72">
        <f t="shared" si="23"/>
        <v>20.774838217032325</v>
      </c>
      <c r="K38" s="71">
        <f>IFERROR(I38*isospec!$D6,".")</f>
        <v>0</v>
      </c>
      <c r="L38" s="73">
        <f>IFERROR(J38*isospec!$E6,".")</f>
        <v>1.8920732436184266E-5</v>
      </c>
      <c r="M38" s="74">
        <f t="shared" si="33"/>
        <v>1.8920732436184266E-5</v>
      </c>
      <c r="N38" s="70">
        <f>N$34*Aeq_Feq!$B6</f>
        <v>0.15</v>
      </c>
      <c r="O38" s="71">
        <f t="shared" si="24"/>
        <v>928.84615384615358</v>
      </c>
      <c r="P38" s="72">
        <f t="shared" si="25"/>
        <v>0.14383561643835613</v>
      </c>
      <c r="Q38" s="71">
        <f>O38*isospec!$D6</f>
        <v>0</v>
      </c>
      <c r="R38" s="73">
        <f>P38*isospec!$E6</f>
        <v>1.3099862367123285E-7</v>
      </c>
      <c r="S38" s="74">
        <f t="shared" si="34"/>
        <v>1.3099862367123285E-7</v>
      </c>
      <c r="T38" s="70">
        <f>T$34*Aeq_Feq!$C6</f>
        <v>4973</v>
      </c>
      <c r="U38" s="71">
        <f t="shared" si="26"/>
        <v>24864999.999999996</v>
      </c>
      <c r="V38" s="72">
        <f t="shared" si="27"/>
        <v>1135.3881278538811</v>
      </c>
      <c r="W38" s="71">
        <f>U38*isospec!$D6</f>
        <v>0</v>
      </c>
      <c r="X38" s="73">
        <f>V38*isospec!$E6</f>
        <v>1.0340573897095889E-3</v>
      </c>
      <c r="Y38" s="74">
        <f t="shared" si="35"/>
        <v>1.0340573897095889E-3</v>
      </c>
      <c r="Z38" s="70">
        <f>Z$34*Aeq_Feq!$C6</f>
        <v>21.548196408831508</v>
      </c>
      <c r="AA38" s="71">
        <f t="shared" si="28"/>
        <v>107740.98204415754</v>
      </c>
      <c r="AB38" s="72">
        <f t="shared" si="29"/>
        <v>4.9196795453953213</v>
      </c>
      <c r="AC38" s="71">
        <f>IFERROR(AA38*isospec!$D6,".")</f>
        <v>0</v>
      </c>
      <c r="AD38" s="73">
        <f>IFERROR(AB38*isospec!$E6,".")</f>
        <v>4.4806096383402069E-6</v>
      </c>
      <c r="AE38" s="74">
        <f t="shared" si="36"/>
        <v>4.4806096383402069E-6</v>
      </c>
      <c r="AF38" s="70">
        <f>AF$34*Aeq_Feq!$C6</f>
        <v>0.14918999999999999</v>
      </c>
      <c r="AG38" s="71">
        <f t="shared" si="30"/>
        <v>745.94999999999993</v>
      </c>
      <c r="AH38" s="72">
        <f t="shared" si="31"/>
        <v>3.406164383561644E-2</v>
      </c>
      <c r="AI38" s="71">
        <f>AG38*isospec!$D6</f>
        <v>0</v>
      </c>
      <c r="AJ38" s="73">
        <f>AH38*isospec!$E6</f>
        <v>3.1021721691287674E-8</v>
      </c>
      <c r="AK38" s="74">
        <f t="shared" si="37"/>
        <v>3.1021721691287674E-8</v>
      </c>
    </row>
    <row r="39" spans="1:37" x14ac:dyDescent="0.25">
      <c r="A39" s="57" t="str">
        <f>isospec!A7</f>
        <v>Rn-219~Tl-207</v>
      </c>
      <c r="B39" s="70">
        <f>B$34*Aeq_Feq!$B7</f>
        <v>4185.5</v>
      </c>
      <c r="C39" s="71">
        <f t="shared" si="20"/>
        <v>25917903.84615384</v>
      </c>
      <c r="D39" s="72">
        <f t="shared" si="21"/>
        <v>4013.4931506849316</v>
      </c>
      <c r="E39" s="71">
        <f>C39*isospec!$D7</f>
        <v>0</v>
      </c>
      <c r="F39" s="73">
        <f>D39*isospec!$E7</f>
        <v>0.21603749987376988</v>
      </c>
      <c r="G39" s="74">
        <f t="shared" si="32"/>
        <v>0.21603749987376988</v>
      </c>
      <c r="H39" s="70">
        <f>H$34*Aeq_Feq!$B7</f>
        <v>18.135929231683949</v>
      </c>
      <c r="I39" s="71">
        <f t="shared" si="22"/>
        <v>112303.25408850443</v>
      </c>
      <c r="J39" s="72">
        <f t="shared" si="23"/>
        <v>17.390617071477756</v>
      </c>
      <c r="K39" s="71">
        <f>IFERROR(I39*isospec!$D7,".")</f>
        <v>0</v>
      </c>
      <c r="L39" s="73">
        <f>IFERROR(J39*isospec!$E7,".")</f>
        <v>9.3609862838385375E-4</v>
      </c>
      <c r="M39" s="74">
        <f t="shared" si="33"/>
        <v>9.3609862838385375E-4</v>
      </c>
      <c r="N39" s="70">
        <f>N$34*Aeq_Feq!$B7</f>
        <v>0.12556499999999998</v>
      </c>
      <c r="O39" s="71">
        <f t="shared" si="24"/>
        <v>777.53711538461505</v>
      </c>
      <c r="P39" s="72">
        <f t="shared" si="25"/>
        <v>0.12040479452054792</v>
      </c>
      <c r="Q39" s="71">
        <f>O39*isospec!$D7</f>
        <v>0</v>
      </c>
      <c r="R39" s="73">
        <f>P39*isospec!$E7</f>
        <v>6.481124996213095E-6</v>
      </c>
      <c r="S39" s="74">
        <f t="shared" si="34"/>
        <v>6.481124996213095E-6</v>
      </c>
      <c r="T39" s="70">
        <f>T$34*Aeq_Feq!$C7</f>
        <v>2974.5</v>
      </c>
      <c r="U39" s="71">
        <f t="shared" si="26"/>
        <v>14872500</v>
      </c>
      <c r="V39" s="72">
        <f t="shared" si="27"/>
        <v>679.10958904109589</v>
      </c>
      <c r="W39" s="71">
        <f>U39*isospec!$D7</f>
        <v>0</v>
      </c>
      <c r="X39" s="73">
        <f>V39*isospec!$E7</f>
        <v>3.6554973996082193E-2</v>
      </c>
      <c r="Y39" s="74">
        <f t="shared" si="35"/>
        <v>3.6554973996082193E-2</v>
      </c>
      <c r="Z39" s="70">
        <f>Z$34*Aeq_Feq!$C7</f>
        <v>12.888620594825923</v>
      </c>
      <c r="AA39" s="71">
        <f t="shared" si="28"/>
        <v>64443.102974129615</v>
      </c>
      <c r="AB39" s="72">
        <f t="shared" si="29"/>
        <v>2.9426074417410781</v>
      </c>
      <c r="AC39" s="71">
        <f>IFERROR(AA39*isospec!$D7,".")</f>
        <v>0</v>
      </c>
      <c r="AD39" s="73">
        <f>IFERROR(AB39*isospec!$E7,".")</f>
        <v>1.5839407990896992E-4</v>
      </c>
      <c r="AE39" s="74">
        <f t="shared" si="36"/>
        <v>1.5839407990896992E-4</v>
      </c>
      <c r="AF39" s="70">
        <f>AF$34*Aeq_Feq!$C7</f>
        <v>8.9234999999999995E-2</v>
      </c>
      <c r="AG39" s="71">
        <f t="shared" si="30"/>
        <v>446.17499999999995</v>
      </c>
      <c r="AH39" s="72">
        <f t="shared" si="31"/>
        <v>2.0373287671232875E-2</v>
      </c>
      <c r="AI39" s="71">
        <f>AG39*isospec!$D7</f>
        <v>0</v>
      </c>
      <c r="AJ39" s="73">
        <f>AH39*isospec!$E7</f>
        <v>1.0966492198824658E-6</v>
      </c>
      <c r="AK39" s="74">
        <f t="shared" si="37"/>
        <v>1.0966492198824658E-6</v>
      </c>
    </row>
    <row r="40" spans="1:37" x14ac:dyDescent="0.25">
      <c r="A40" s="57" t="str">
        <f>isospec!A8</f>
        <v>Rn-220</v>
      </c>
      <c r="B40" s="102" t="s">
        <v>169</v>
      </c>
      <c r="C40" s="103" t="s">
        <v>179</v>
      </c>
      <c r="D40" s="104">
        <f>Cia_220*(Aeq_Feq!$E$8)</f>
        <v>0.140404052</v>
      </c>
      <c r="E40" s="67">
        <f>SUM(E41:E46)</f>
        <v>3623.8301076923067</v>
      </c>
      <c r="F40" s="68">
        <f>SUM(F41:F46)</f>
        <v>8.550643492263946</v>
      </c>
      <c r="G40" s="69">
        <f>SUM(E40:F40)</f>
        <v>3632.3807511845707</v>
      </c>
      <c r="H40" s="102" t="s">
        <v>169</v>
      </c>
      <c r="I40" s="103" t="s">
        <v>179</v>
      </c>
      <c r="J40" s="104">
        <f>(H41/1000)*(Aeq_Feq!$E$8)</f>
        <v>6.0837604848015131E-4</v>
      </c>
      <c r="K40" s="67">
        <f>SUM(K41:K46)</f>
        <v>15.702192421635001</v>
      </c>
      <c r="L40" s="68">
        <f>SUM(L41:L46)</f>
        <v>3.70502604852605E-2</v>
      </c>
      <c r="M40" s="69">
        <f>SUM(K40:L40)</f>
        <v>15.739242682120262</v>
      </c>
      <c r="N40" s="102" t="s">
        <v>169</v>
      </c>
      <c r="O40" s="103" t="s">
        <v>179</v>
      </c>
      <c r="P40" s="104">
        <f>(N41/1000)*(Aeq_Feq!$E$8)</f>
        <v>4.2121215599999993E-6</v>
      </c>
      <c r="Q40" s="67">
        <f>SUM(Q41:Q46)</f>
        <v>0.10871490323076918</v>
      </c>
      <c r="R40" s="68">
        <f>SUM(R41:R46)</f>
        <v>2.5651930476791834E-4</v>
      </c>
      <c r="S40" s="69">
        <f>SUM(Q40:R40)</f>
        <v>0.1089714225355371</v>
      </c>
      <c r="T40" s="102" t="s">
        <v>169</v>
      </c>
      <c r="U40" s="103" t="s">
        <v>179</v>
      </c>
      <c r="V40" s="104">
        <f>Cia_222*(Aeq_Feq!$G$8)</f>
        <v>3.4848434000000005E-2</v>
      </c>
      <c r="W40" s="67">
        <f>SUM(W41:W46)</f>
        <v>1052.4157500000001</v>
      </c>
      <c r="X40" s="68">
        <f>SUM(X41:X46)</f>
        <v>0.52268290895342462</v>
      </c>
      <c r="Y40" s="69">
        <f>SUM(W40:X40)</f>
        <v>1052.9384329089535</v>
      </c>
      <c r="Z40" s="102" t="s">
        <v>169</v>
      </c>
      <c r="AA40" s="103" t="s">
        <v>179</v>
      </c>
      <c r="AB40" s="104">
        <f>(Z41/1000)*(Aeq_Feq!$G$8)</f>
        <v>1.5099957779453083E-4</v>
      </c>
      <c r="AC40" s="67">
        <f>SUM(AC41:AC46)</f>
        <v>4.5601571053182628</v>
      </c>
      <c r="AD40" s="68">
        <f>SUM(AD41:AD46)</f>
        <v>2.2648047419400342E-3</v>
      </c>
      <c r="AE40" s="69">
        <f>SUM(AC40:AD40)</f>
        <v>4.5624219100602028</v>
      </c>
      <c r="AF40" s="102" t="s">
        <v>169</v>
      </c>
      <c r="AG40" s="103" t="s">
        <v>179</v>
      </c>
      <c r="AH40" s="104">
        <f>(AF41/1000)*(Aeq_Feq!$G$8)</f>
        <v>1.04545302E-6</v>
      </c>
      <c r="AI40" s="67">
        <f>SUM(AI41:AI46)</f>
        <v>3.1572472499999997E-2</v>
      </c>
      <c r="AJ40" s="68">
        <f>SUM(AJ41:AJ46)</f>
        <v>1.5680487268602738E-5</v>
      </c>
      <c r="AK40" s="69">
        <f>SUM(AI40:AJ40)</f>
        <v>3.1588152987268601E-2</v>
      </c>
    </row>
    <row r="41" spans="1:37" x14ac:dyDescent="0.25">
      <c r="A41" s="57" t="str">
        <f>isospec!A8</f>
        <v>Rn-220</v>
      </c>
      <c r="B41" s="75">
        <f>Cia_220*1000</f>
        <v>5000</v>
      </c>
      <c r="C41" s="71">
        <f t="shared" ref="C41:C46" si="38">IFERROR(B41*IFAres_adj_d,".")</f>
        <v>30961538.461538453</v>
      </c>
      <c r="D41" s="72">
        <f t="shared" ref="D41:D46" si="39">IFERROR(B41*EFres*(1/365)*1*ETres*(1/24)*GSFa,".")</f>
        <v>4794.5205479452052</v>
      </c>
      <c r="E41" s="71">
        <f>C41*isospec!$D8</f>
        <v>25.326538461538455</v>
      </c>
      <c r="F41" s="73">
        <f>D41*isospec!$E8</f>
        <v>1.5731031304109588E-2</v>
      </c>
      <c r="G41" s="74">
        <f t="shared" ref="G41:G46" si="40">SUM(E41:F41)</f>
        <v>25.342269492842565</v>
      </c>
      <c r="H41" s="70">
        <f>IFERROR(Cia_220*(AFgw*1000*isospec!$M8),".")</f>
        <v>21.66518842633371</v>
      </c>
      <c r="I41" s="71">
        <f t="shared" ref="I41:I46" si="41">IFERROR(H41*IFAres_adj_d,".")</f>
        <v>134157.5129476818</v>
      </c>
      <c r="J41" s="72">
        <f t="shared" ref="J41:J46" si="42">IFERROR(H41*EFres*(1/365)*1*ETres*(1/24)*GSFa,".")</f>
        <v>20.774838217032325</v>
      </c>
      <c r="K41" s="71">
        <f>IFERROR(I41*isospec!$D8,".")</f>
        <v>0.10974084559120371</v>
      </c>
      <c r="L41" s="73">
        <f>IFERROR(J41*isospec!$E8,".")</f>
        <v>6.8163151468817677E-5</v>
      </c>
      <c r="M41" s="74">
        <f t="shared" ref="M41:M46" si="43">SUM(K41:L41)</f>
        <v>0.10980900874267253</v>
      </c>
      <c r="N41" s="70">
        <f>Cia_220*AFss</f>
        <v>0.15</v>
      </c>
      <c r="O41" s="71">
        <f t="shared" ref="O41:O46" si="44">IFERROR(N41*IFAres_adj_d,".")</f>
        <v>928.84615384615358</v>
      </c>
      <c r="P41" s="72">
        <f t="shared" ref="P41:P46" si="45">IFERROR(N41*EFres*(1/365)*1*ETres*(1/24)*GSFa,".")</f>
        <v>0.14383561643835613</v>
      </c>
      <c r="Q41" s="71">
        <f>O41*isospec!$D8</f>
        <v>7.5979615384615367E-4</v>
      </c>
      <c r="R41" s="73">
        <f>P41*isospec!$E8</f>
        <v>4.7193093912328753E-7</v>
      </c>
      <c r="S41" s="74">
        <f t="shared" ref="S41:S46" si="46">SUM(Q41:R41)</f>
        <v>7.6026808478527692E-4</v>
      </c>
      <c r="T41" s="75">
        <f>Cia_220*1000</f>
        <v>5000</v>
      </c>
      <c r="U41" s="71">
        <f t="shared" ref="U41:U46" si="47">IFERROR(T41*EFw*1*ETw*(1/24)*IRAw,".")</f>
        <v>24999999.999999996</v>
      </c>
      <c r="V41" s="72">
        <f t="shared" ref="V41:V46" si="48">IFERROR(T41*EFw*(1/365)*1*ETw*(1/24)*GSFa,".")</f>
        <v>1141.552511415525</v>
      </c>
      <c r="W41" s="71">
        <f>U41*isospec!$D8</f>
        <v>20.45</v>
      </c>
      <c r="X41" s="73">
        <f>V41*isospec!$E8</f>
        <v>3.7454836438356163E-3</v>
      </c>
      <c r="Y41" s="74">
        <f t="shared" ref="Y41:Y46" si="49">SUM(W41:X41)</f>
        <v>20.453745483643836</v>
      </c>
      <c r="Z41" s="70">
        <f>IFERROR(Cia_220*(AFgw*1000*isospec!$M8),".")</f>
        <v>21.66518842633371</v>
      </c>
      <c r="AA41" s="71">
        <f t="shared" ref="AA41:AA46" si="50">IFERROR(Z41*EFw*1*ETw*(1/24)*IRAw,".")</f>
        <v>108325.94213166853</v>
      </c>
      <c r="AB41" s="72">
        <f t="shared" ref="AB41:AB46" si="51">IFERROR(Z41*EFw*(1/365)*1*ETw*(1/24)*GSFa,".")</f>
        <v>4.9463900516743626</v>
      </c>
      <c r="AC41" s="71">
        <f>IFERROR(AA41*isospec!$D8,".")</f>
        <v>8.861062066370487E-2</v>
      </c>
      <c r="AD41" s="73">
        <f>IFERROR(AB41*isospec!$E8,".")</f>
        <v>1.622932177828992E-5</v>
      </c>
      <c r="AE41" s="74">
        <f t="shared" ref="AE41:AE46" si="52">SUM(AC41:AD41)</f>
        <v>8.8626849985483161E-2</v>
      </c>
      <c r="AF41" s="70">
        <f>Cia_220*AFss</f>
        <v>0.15</v>
      </c>
      <c r="AG41" s="71">
        <f t="shared" ref="AG41:AG46" si="53">IFERROR(AF41*EFw*1*ETw*(1/24)*IRAw,".")</f>
        <v>750</v>
      </c>
      <c r="AH41" s="72">
        <f t="shared" ref="AH41:AH46" si="54">IFERROR(AF41*EFw*(1/365)*1*ETw*(1/24)*GSFa,".")</f>
        <v>3.4246575342465752E-2</v>
      </c>
      <c r="AI41" s="71">
        <f>AG41*isospec!$D8</f>
        <v>6.135E-4</v>
      </c>
      <c r="AJ41" s="73">
        <f>AH41*isospec!$E8</f>
        <v>1.1236450931506848E-7</v>
      </c>
      <c r="AK41" s="74">
        <f t="shared" ref="AK41:AK46" si="55">SUM(AI41:AJ41)</f>
        <v>6.1361236450931513E-4</v>
      </c>
    </row>
    <row r="42" spans="1:37" x14ac:dyDescent="0.25">
      <c r="A42" s="57" t="str">
        <f>isospec!A9</f>
        <v>Rn-220~Bi-212</v>
      </c>
      <c r="B42" s="70">
        <f>B$41*Aeq_Feq!$B9</f>
        <v>1053</v>
      </c>
      <c r="C42" s="71">
        <f t="shared" si="38"/>
        <v>6520499.9999999981</v>
      </c>
      <c r="D42" s="72">
        <f t="shared" si="39"/>
        <v>1009.7260273972603</v>
      </c>
      <c r="E42" s="71">
        <f>C42*isospec!$D9</f>
        <v>398.40254999999985</v>
      </c>
      <c r="F42" s="73">
        <f>D42*isospec!$E9</f>
        <v>0.60953659594224652</v>
      </c>
      <c r="G42" s="74">
        <f t="shared" si="40"/>
        <v>399.01208659594209</v>
      </c>
      <c r="H42" s="70">
        <f>H$41*Aeq_Feq!$B9</f>
        <v>4.5626886825858799</v>
      </c>
      <c r="I42" s="71">
        <f t="shared" si="41"/>
        <v>28253.572226781787</v>
      </c>
      <c r="J42" s="72">
        <f t="shared" si="42"/>
        <v>4.3751809285070076</v>
      </c>
      <c r="K42" s="71">
        <f>IFERROR(I42*isospec!$D9,".")</f>
        <v>1.726293263056367</v>
      </c>
      <c r="L42" s="73">
        <f>IFERROR(J42*isospec!$E9,".")</f>
        <v>2.6411450407669615E-3</v>
      </c>
      <c r="M42" s="74">
        <f t="shared" si="43"/>
        <v>1.7289344080971341</v>
      </c>
      <c r="N42" s="70">
        <f>N$41*Aeq_Feq!$B9</f>
        <v>3.159E-2</v>
      </c>
      <c r="O42" s="71">
        <f t="shared" si="44"/>
        <v>195.61499999999995</v>
      </c>
      <c r="P42" s="72">
        <f t="shared" si="45"/>
        <v>3.0291780821917809E-2</v>
      </c>
      <c r="Q42" s="71">
        <f>O42*isospec!$D9</f>
        <v>1.1952076499999995E-2</v>
      </c>
      <c r="R42" s="73">
        <f>P42*isospec!$E9</f>
        <v>1.8286097878267398E-5</v>
      </c>
      <c r="S42" s="74">
        <f t="shared" si="46"/>
        <v>1.1970362597878263E-2</v>
      </c>
      <c r="T42" s="70">
        <f>T$41*Aeq_Feq!$C9</f>
        <v>261.5</v>
      </c>
      <c r="U42" s="71">
        <f t="shared" si="47"/>
        <v>1307499.9999999998</v>
      </c>
      <c r="V42" s="72">
        <f t="shared" si="48"/>
        <v>59.703196347031962</v>
      </c>
      <c r="W42" s="71">
        <f>U42*isospec!$D9</f>
        <v>79.888249999999985</v>
      </c>
      <c r="X42" s="73">
        <f>V42*isospec!$E9</f>
        <v>3.6040749748767122E-2</v>
      </c>
      <c r="Y42" s="74">
        <f t="shared" si="49"/>
        <v>79.924290749748749</v>
      </c>
      <c r="Z42" s="70">
        <f>Z$41*Aeq_Feq!$C9</f>
        <v>1.1330893546972531</v>
      </c>
      <c r="AA42" s="71">
        <f t="shared" si="50"/>
        <v>5665.4467734862656</v>
      </c>
      <c r="AB42" s="72">
        <f t="shared" si="51"/>
        <v>0.25869619970256919</v>
      </c>
      <c r="AC42" s="71">
        <f>IFERROR(AA42*isospec!$D9,".")</f>
        <v>0.3461587978600108</v>
      </c>
      <c r="AD42" s="73">
        <f>IFERROR(AB42*isospec!$E9,".")</f>
        <v>1.561659268666758E-4</v>
      </c>
      <c r="AE42" s="74">
        <f t="shared" si="52"/>
        <v>0.34631496378687748</v>
      </c>
      <c r="AF42" s="70">
        <f>AF$41*Aeq_Feq!$C9</f>
        <v>7.8449999999999995E-3</v>
      </c>
      <c r="AG42" s="71">
        <f t="shared" si="53"/>
        <v>39.224999999999994</v>
      </c>
      <c r="AH42" s="72">
        <f t="shared" si="54"/>
        <v>1.7910958904109589E-3</v>
      </c>
      <c r="AI42" s="71">
        <f>AG42*isospec!$D9</f>
        <v>2.3966474999999993E-3</v>
      </c>
      <c r="AJ42" s="73">
        <f>AH42*isospec!$E9</f>
        <v>1.0812224924630136E-6</v>
      </c>
      <c r="AK42" s="74">
        <f t="shared" si="55"/>
        <v>2.3977287224924621E-3</v>
      </c>
    </row>
    <row r="43" spans="1:37" x14ac:dyDescent="0.25">
      <c r="A43" s="57" t="str">
        <f>isospec!A10</f>
        <v>Rn-220~Pb-212</v>
      </c>
      <c r="B43" s="70">
        <f>B$41*Aeq_Feq!$B10</f>
        <v>1328.5</v>
      </c>
      <c r="C43" s="71">
        <f t="shared" si="38"/>
        <v>8226480.7692307672</v>
      </c>
      <c r="D43" s="72">
        <f t="shared" si="39"/>
        <v>1273.9041095890411</v>
      </c>
      <c r="E43" s="71">
        <f>C43*isospec!$D10</f>
        <v>3200.1010192307685</v>
      </c>
      <c r="F43" s="73">
        <f>D43*isospec!$E10</f>
        <v>0.90883206252443838</v>
      </c>
      <c r="G43" s="74">
        <f t="shared" si="40"/>
        <v>3201.0098512932932</v>
      </c>
      <c r="H43" s="70">
        <f>H$41*Aeq_Feq!$B10</f>
        <v>5.7564405648768666</v>
      </c>
      <c r="I43" s="71">
        <f t="shared" si="41"/>
        <v>35645.651190199045</v>
      </c>
      <c r="J43" s="72">
        <f t="shared" si="42"/>
        <v>5.5198745142654886</v>
      </c>
      <c r="K43" s="71">
        <f>IFERROR(I43*isospec!$D10,".")</f>
        <v>13.86615831298743</v>
      </c>
      <c r="L43" s="73">
        <f>IFERROR(J43*isospec!$E10,".")</f>
        <v>3.9380035764970912E-3</v>
      </c>
      <c r="M43" s="74">
        <f t="shared" si="43"/>
        <v>13.870096316563927</v>
      </c>
      <c r="N43" s="70">
        <f>N$41*Aeq_Feq!$B10</f>
        <v>3.9854999999999995E-2</v>
      </c>
      <c r="O43" s="71">
        <f t="shared" si="44"/>
        <v>246.79442307692298</v>
      </c>
      <c r="P43" s="72">
        <f t="shared" si="45"/>
        <v>3.8217123287671226E-2</v>
      </c>
      <c r="Q43" s="71">
        <f>O43*isospec!$D10</f>
        <v>9.600303057692304E-2</v>
      </c>
      <c r="R43" s="73">
        <f>P43*isospec!$E10</f>
        <v>2.7264961875733148E-5</v>
      </c>
      <c r="S43" s="74">
        <f t="shared" si="46"/>
        <v>9.6030295538798771E-2</v>
      </c>
      <c r="T43" s="70">
        <f>T$41*Aeq_Feq!$C10</f>
        <v>489.5</v>
      </c>
      <c r="U43" s="71">
        <f t="shared" si="47"/>
        <v>2447500</v>
      </c>
      <c r="V43" s="72">
        <f t="shared" si="48"/>
        <v>111.75799086757991</v>
      </c>
      <c r="W43" s="71">
        <f>U43*isospec!$D10</f>
        <v>952.0775000000001</v>
      </c>
      <c r="X43" s="73">
        <f>V43*isospec!$E10</f>
        <v>7.9730683478630132E-2</v>
      </c>
      <c r="Y43" s="74">
        <f t="shared" si="49"/>
        <v>952.1572306834787</v>
      </c>
      <c r="Z43" s="70">
        <f>Z$41*Aeq_Feq!$C10</f>
        <v>2.1210219469380704</v>
      </c>
      <c r="AA43" s="71">
        <f t="shared" si="50"/>
        <v>10605.109734690352</v>
      </c>
      <c r="AB43" s="72">
        <f t="shared" si="51"/>
        <v>0.48425158605892016</v>
      </c>
      <c r="AC43" s="71">
        <f>IFERROR(AA43*isospec!$D10,".")</f>
        <v>4.1253876867945474</v>
      </c>
      <c r="AD43" s="73">
        <f>IFERROR(AB43*isospec!$E10,".")</f>
        <v>3.4547605618497881E-4</v>
      </c>
      <c r="AE43" s="74">
        <f t="shared" si="52"/>
        <v>4.1257331628507323</v>
      </c>
      <c r="AF43" s="70">
        <f>AF$41*Aeq_Feq!$C10</f>
        <v>1.4685E-2</v>
      </c>
      <c r="AG43" s="71">
        <f t="shared" si="53"/>
        <v>73.424999999999997</v>
      </c>
      <c r="AH43" s="72">
        <f t="shared" si="54"/>
        <v>3.352739726027397E-3</v>
      </c>
      <c r="AI43" s="71">
        <f>AG43*isospec!$D10</f>
        <v>2.8562325E-2</v>
      </c>
      <c r="AJ43" s="73">
        <f>AH43*isospec!$E10</f>
        <v>2.3919205043589041E-6</v>
      </c>
      <c r="AK43" s="74">
        <f t="shared" si="55"/>
        <v>2.8564716920504357E-2</v>
      </c>
    </row>
    <row r="44" spans="1:37" x14ac:dyDescent="0.25">
      <c r="A44" s="57" t="str">
        <f>isospec!A11</f>
        <v>Rn-220~Po-212</v>
      </c>
      <c r="B44" s="70">
        <f>B$41*Aeq_Feq!$B11</f>
        <v>675</v>
      </c>
      <c r="C44" s="71">
        <f t="shared" si="38"/>
        <v>4179807.6923076911</v>
      </c>
      <c r="D44" s="72">
        <f t="shared" si="39"/>
        <v>647.2602739726027</v>
      </c>
      <c r="E44" s="71">
        <f>C44*isospec!$D11</f>
        <v>0</v>
      </c>
      <c r="F44" s="73">
        <f>D44*isospec!$E11</f>
        <v>0</v>
      </c>
      <c r="G44" s="74">
        <f t="shared" si="40"/>
        <v>0</v>
      </c>
      <c r="H44" s="70">
        <f>H$41*Aeq_Feq!$B11</f>
        <v>2.9248004375550511</v>
      </c>
      <c r="I44" s="71">
        <f t="shared" si="41"/>
        <v>18111.264247937041</v>
      </c>
      <c r="J44" s="72">
        <f t="shared" si="42"/>
        <v>2.8046031592993637</v>
      </c>
      <c r="K44" s="71">
        <f>IFERROR(I44*isospec!$D11,".")</f>
        <v>0</v>
      </c>
      <c r="L44" s="73">
        <f>IFERROR(J44*isospec!$E11,".")</f>
        <v>0</v>
      </c>
      <c r="M44" s="74">
        <f t="shared" si="43"/>
        <v>0</v>
      </c>
      <c r="N44" s="70">
        <f>N$41*Aeq_Feq!$B11</f>
        <v>2.0250000000000001E-2</v>
      </c>
      <c r="O44" s="71">
        <f t="shared" si="44"/>
        <v>125.39423076923073</v>
      </c>
      <c r="P44" s="72">
        <f t="shared" si="45"/>
        <v>1.941780821917808E-2</v>
      </c>
      <c r="Q44" s="71">
        <f>O44*isospec!$D11</f>
        <v>0</v>
      </c>
      <c r="R44" s="73">
        <f>P44*isospec!$E11</f>
        <v>0</v>
      </c>
      <c r="S44" s="74">
        <f t="shared" si="46"/>
        <v>0</v>
      </c>
      <c r="T44" s="70">
        <f>T$41*Aeq_Feq!$C11</f>
        <v>167.5</v>
      </c>
      <c r="U44" s="71">
        <f t="shared" si="47"/>
        <v>837499.99999999988</v>
      </c>
      <c r="V44" s="72">
        <f t="shared" si="48"/>
        <v>38.242009132420094</v>
      </c>
      <c r="W44" s="71">
        <f>U44*isospec!$D11</f>
        <v>0</v>
      </c>
      <c r="X44" s="73">
        <f>V44*isospec!$E11</f>
        <v>0</v>
      </c>
      <c r="Y44" s="74">
        <f t="shared" si="49"/>
        <v>0</v>
      </c>
      <c r="Z44" s="70">
        <f>Z$41*Aeq_Feq!$C11</f>
        <v>0.72578381228217936</v>
      </c>
      <c r="AA44" s="71">
        <f t="shared" si="50"/>
        <v>3628.9190614108966</v>
      </c>
      <c r="AB44" s="72">
        <f t="shared" si="51"/>
        <v>0.16570406673109117</v>
      </c>
      <c r="AC44" s="71">
        <f>IFERROR(AA44*isospec!$D11,".")</f>
        <v>0</v>
      </c>
      <c r="AD44" s="73">
        <f>IFERROR(AB44*isospec!$E11,".")</f>
        <v>0</v>
      </c>
      <c r="AE44" s="74">
        <f t="shared" si="52"/>
        <v>0</v>
      </c>
      <c r="AF44" s="70">
        <f>AF$41*Aeq_Feq!$C11</f>
        <v>5.025E-3</v>
      </c>
      <c r="AG44" s="71">
        <f t="shared" si="53"/>
        <v>25.125</v>
      </c>
      <c r="AH44" s="72">
        <f t="shared" si="54"/>
        <v>1.1472602739726026E-3</v>
      </c>
      <c r="AI44" s="71">
        <f>AG44*isospec!$D11</f>
        <v>0</v>
      </c>
      <c r="AJ44" s="73">
        <f>AH44*isospec!$E11</f>
        <v>0</v>
      </c>
      <c r="AK44" s="74">
        <f t="shared" si="55"/>
        <v>0</v>
      </c>
    </row>
    <row r="45" spans="1:37" x14ac:dyDescent="0.25">
      <c r="A45" s="57" t="str">
        <f>isospec!A12</f>
        <v>Rn-220~Po-216</v>
      </c>
      <c r="B45" s="70">
        <f>B$41*Aeq_Feq!$B12</f>
        <v>5000</v>
      </c>
      <c r="C45" s="71">
        <f t="shared" si="38"/>
        <v>30961538.461538453</v>
      </c>
      <c r="D45" s="72">
        <f t="shared" si="39"/>
        <v>4794.5205479452052</v>
      </c>
      <c r="E45" s="71">
        <f>C45*isospec!$D12</f>
        <v>0</v>
      </c>
      <c r="F45" s="73">
        <f>D45*isospec!$E12</f>
        <v>3.9187622465753421E-4</v>
      </c>
      <c r="G45" s="74">
        <f t="shared" si="40"/>
        <v>3.9187622465753421E-4</v>
      </c>
      <c r="H45" s="70">
        <f>H$41*Aeq_Feq!$B12</f>
        <v>21.66518842633371</v>
      </c>
      <c r="I45" s="71">
        <f t="shared" si="41"/>
        <v>134157.5129476818</v>
      </c>
      <c r="J45" s="72">
        <f t="shared" si="42"/>
        <v>20.774838217032325</v>
      </c>
      <c r="K45" s="71">
        <f>IFERROR(I45*isospec!$D12,".")</f>
        <v>0</v>
      </c>
      <c r="L45" s="73">
        <f>IFERROR(J45*isospec!$E12,".")</f>
        <v>1.6980144494011521E-6</v>
      </c>
      <c r="M45" s="74">
        <f t="shared" si="43"/>
        <v>1.6980144494011521E-6</v>
      </c>
      <c r="N45" s="70">
        <f>N$41*Aeq_Feq!$B12</f>
        <v>0.15</v>
      </c>
      <c r="O45" s="71">
        <f t="shared" si="44"/>
        <v>928.84615384615358</v>
      </c>
      <c r="P45" s="72">
        <f t="shared" si="45"/>
        <v>0.14383561643835613</v>
      </c>
      <c r="Q45" s="71">
        <f>O45*isospec!$D12</f>
        <v>0</v>
      </c>
      <c r="R45" s="73">
        <f>P45*isospec!$E12</f>
        <v>1.1756286739726025E-8</v>
      </c>
      <c r="S45" s="74">
        <f t="shared" si="46"/>
        <v>1.1756286739726025E-8</v>
      </c>
      <c r="T45" s="70">
        <f>T$41*Aeq_Feq!$C12</f>
        <v>5000</v>
      </c>
      <c r="U45" s="71">
        <f t="shared" si="47"/>
        <v>24999999.999999996</v>
      </c>
      <c r="V45" s="72">
        <f t="shared" si="48"/>
        <v>1141.552511415525</v>
      </c>
      <c r="W45" s="71">
        <f>U45*isospec!$D12</f>
        <v>0</v>
      </c>
      <c r="X45" s="73">
        <f>V45*isospec!$E12</f>
        <v>9.3303863013698629E-5</v>
      </c>
      <c r="Y45" s="74">
        <f t="shared" si="49"/>
        <v>9.3303863013698629E-5</v>
      </c>
      <c r="Z45" s="70">
        <f>Z$41*Aeq_Feq!$C12</f>
        <v>21.66518842633371</v>
      </c>
      <c r="AA45" s="71">
        <f t="shared" si="50"/>
        <v>108325.94213166853</v>
      </c>
      <c r="AB45" s="72">
        <f t="shared" si="51"/>
        <v>4.9463900516743626</v>
      </c>
      <c r="AC45" s="71">
        <f>IFERROR(AA45*isospec!$D12,".")</f>
        <v>0</v>
      </c>
      <c r="AD45" s="73">
        <f>IFERROR(AB45*isospec!$E12,".")</f>
        <v>4.0428915461932188E-7</v>
      </c>
      <c r="AE45" s="74">
        <f t="shared" si="52"/>
        <v>4.0428915461932188E-7</v>
      </c>
      <c r="AF45" s="70">
        <f>AF$41*Aeq_Feq!$C12</f>
        <v>0.15</v>
      </c>
      <c r="AG45" s="71">
        <f t="shared" si="53"/>
        <v>750</v>
      </c>
      <c r="AH45" s="72">
        <f t="shared" si="54"/>
        <v>3.4246575342465752E-2</v>
      </c>
      <c r="AI45" s="71">
        <f>AG45*isospec!$D12</f>
        <v>0</v>
      </c>
      <c r="AJ45" s="73">
        <f>AH45*isospec!$E12</f>
        <v>2.7991158904109589E-9</v>
      </c>
      <c r="AK45" s="74">
        <f t="shared" si="55"/>
        <v>2.7991158904109589E-9</v>
      </c>
    </row>
    <row r="46" spans="1:37" x14ac:dyDescent="0.25">
      <c r="A46" s="57" t="str">
        <f>isospec!A13</f>
        <v>Rn-220~Tl-208</v>
      </c>
      <c r="B46" s="70">
        <f>B$41*Aeq_Feq!$B13</f>
        <v>373</v>
      </c>
      <c r="C46" s="71">
        <f t="shared" si="38"/>
        <v>2309730.7692307686</v>
      </c>
      <c r="D46" s="72">
        <f t="shared" si="39"/>
        <v>357.67123287671234</v>
      </c>
      <c r="E46" s="71">
        <f>C46*isospec!$D13</f>
        <v>0</v>
      </c>
      <c r="F46" s="73">
        <f>D46*isospec!$E13</f>
        <v>7.0161519262684937</v>
      </c>
      <c r="G46" s="74">
        <f t="shared" si="40"/>
        <v>7.0161519262684937</v>
      </c>
      <c r="H46" s="70">
        <f>H$41*Aeq_Feq!$B13</f>
        <v>1.6162230566044948</v>
      </c>
      <c r="I46" s="71">
        <f t="shared" si="41"/>
        <v>10008.150465897061</v>
      </c>
      <c r="J46" s="72">
        <f t="shared" si="42"/>
        <v>1.5498029309906116</v>
      </c>
      <c r="K46" s="71">
        <f>IFERROR(I46*isospec!$D13,".")</f>
        <v>0</v>
      </c>
      <c r="L46" s="73">
        <f>IFERROR(J46*isospec!$E13,".")</f>
        <v>3.040125070207823E-2</v>
      </c>
      <c r="M46" s="74">
        <f t="shared" si="43"/>
        <v>3.040125070207823E-2</v>
      </c>
      <c r="N46" s="70">
        <f>N$41*Aeq_Feq!$B13</f>
        <v>1.119E-2</v>
      </c>
      <c r="O46" s="71">
        <f t="shared" si="44"/>
        <v>69.291923076923055</v>
      </c>
      <c r="P46" s="72">
        <f t="shared" si="45"/>
        <v>1.073013698630137E-2</v>
      </c>
      <c r="Q46" s="71">
        <f>O46*isospec!$D13</f>
        <v>0</v>
      </c>
      <c r="R46" s="73">
        <f>P46*isospec!$E13</f>
        <v>2.104845577880548E-4</v>
      </c>
      <c r="S46" s="74">
        <f t="shared" si="46"/>
        <v>2.104845577880548E-4</v>
      </c>
      <c r="T46" s="70">
        <f>T$41*Aeq_Feq!$C13</f>
        <v>90</v>
      </c>
      <c r="U46" s="71">
        <f t="shared" si="47"/>
        <v>450000</v>
      </c>
      <c r="V46" s="72">
        <f t="shared" si="48"/>
        <v>20.547945205479451</v>
      </c>
      <c r="W46" s="71">
        <f>U46*isospec!$D13</f>
        <v>0</v>
      </c>
      <c r="X46" s="73">
        <f>V46*isospec!$E13</f>
        <v>0.40307268821917808</v>
      </c>
      <c r="Y46" s="74">
        <f t="shared" si="49"/>
        <v>0.40307268821917808</v>
      </c>
      <c r="Z46" s="70">
        <f>Z$41*Aeq_Feq!$C13</f>
        <v>0.38997339167400674</v>
      </c>
      <c r="AA46" s="71">
        <f t="shared" si="50"/>
        <v>1949.8669583700334</v>
      </c>
      <c r="AB46" s="72">
        <f t="shared" si="51"/>
        <v>8.9035020930138514E-2</v>
      </c>
      <c r="AC46" s="71">
        <f>IFERROR(AA46*isospec!$D13,".")</f>
        <v>0</v>
      </c>
      <c r="AD46" s="73">
        <f>IFERROR(AB46*isospec!$E13,".")</f>
        <v>1.7465291479554703E-3</v>
      </c>
      <c r="AE46" s="74">
        <f t="shared" si="52"/>
        <v>1.7465291479554703E-3</v>
      </c>
      <c r="AF46" s="70">
        <f>AF$41*Aeq_Feq!$C13</f>
        <v>2.6999999999999997E-3</v>
      </c>
      <c r="AG46" s="71">
        <f t="shared" si="53"/>
        <v>13.499999999999998</v>
      </c>
      <c r="AH46" s="72">
        <f t="shared" si="54"/>
        <v>6.1643835616438344E-4</v>
      </c>
      <c r="AI46" s="71">
        <f>AG46*isospec!$D13</f>
        <v>0</v>
      </c>
      <c r="AJ46" s="73">
        <f>AH46*isospec!$E13</f>
        <v>1.2092180646575341E-5</v>
      </c>
      <c r="AK46" s="74">
        <f t="shared" si="55"/>
        <v>1.2092180646575341E-5</v>
      </c>
    </row>
    <row r="47" spans="1:37" x14ac:dyDescent="0.25">
      <c r="A47" s="57" t="str">
        <f>isospec!A14</f>
        <v>Rn-222</v>
      </c>
      <c r="B47" s="102" t="s">
        <v>169</v>
      </c>
      <c r="C47" s="103" t="s">
        <v>179</v>
      </c>
      <c r="D47" s="104">
        <f>Cia_222*(Aeq_Feq!$E$14)</f>
        <v>4.4494023700000003E-2</v>
      </c>
      <c r="E47" s="67">
        <f>SUM(E48:E60)</f>
        <v>2633.5184884615378</v>
      </c>
      <c r="F47" s="67">
        <f t="shared" ref="F47:G47" si="56">SUM(F48:F60)</f>
        <v>37.917179891041506</v>
      </c>
      <c r="G47" s="67">
        <f t="shared" si="56"/>
        <v>2671.4356683525793</v>
      </c>
      <c r="H47" s="102" t="s">
        <v>169</v>
      </c>
      <c r="I47" s="103" t="s">
        <v>179</v>
      </c>
      <c r="J47" s="104">
        <f>(H48/1000)*(Aeq_Feq!$E$14)</f>
        <v>1.9279428146125156E-4</v>
      </c>
      <c r="K47" s="67">
        <f t="shared" ref="K47:M47" si="57">SUM(K48:K60)</f>
        <v>11.41113485535055</v>
      </c>
      <c r="L47" s="67">
        <f t="shared" si="57"/>
        <v>0.16429656938692114</v>
      </c>
      <c r="M47" s="67">
        <f t="shared" si="57"/>
        <v>11.575431424737472</v>
      </c>
      <c r="N47" s="102" t="s">
        <v>169</v>
      </c>
      <c r="O47" s="103" t="s">
        <v>179</v>
      </c>
      <c r="P47" s="104">
        <f>(N48/1000)*(Aeq_Feq!$E$14)</f>
        <v>1.334820711E-6</v>
      </c>
      <c r="Q47" s="67">
        <f t="shared" ref="Q47:S47" si="58">SUM(Q48:Q60)</f>
        <v>7.9005554653846122E-2</v>
      </c>
      <c r="R47" s="67">
        <f t="shared" si="58"/>
        <v>1.1375153967312453E-3</v>
      </c>
      <c r="S47" s="67">
        <f t="shared" si="58"/>
        <v>8.01430700505774E-2</v>
      </c>
      <c r="T47" s="102" t="s">
        <v>169</v>
      </c>
      <c r="U47" s="103" t="s">
        <v>179</v>
      </c>
      <c r="V47" s="104">
        <f>Cia_222*(Aeq_Feq!$G$14)</f>
        <v>3.6044806900000004E-2</v>
      </c>
      <c r="W47" s="67">
        <f t="shared" ref="W47:Y47" si="59">SUM(W48:W60)</f>
        <v>1640.3484999999998</v>
      </c>
      <c r="X47" s="68">
        <f t="shared" si="59"/>
        <v>6.1050838901185811</v>
      </c>
      <c r="Y47" s="69">
        <f t="shared" si="59"/>
        <v>1646.4535838901184</v>
      </c>
      <c r="Z47" s="102" t="s">
        <v>169</v>
      </c>
      <c r="AA47" s="103" t="s">
        <v>179</v>
      </c>
      <c r="AB47" s="104">
        <f>(Z48/1000)*(Aeq_Feq!$G$14)</f>
        <v>1.561835066558627E-4</v>
      </c>
      <c r="AC47" s="67">
        <f>SUM(AC48:AC60)</f>
        <v>7.1076918674707716</v>
      </c>
      <c r="AD47" s="68">
        <f t="shared" ref="AD47:AE47" si="60">SUM(AD48:AD60)</f>
        <v>2.6453558567598696E-2</v>
      </c>
      <c r="AE47" s="69">
        <f t="shared" si="60"/>
        <v>7.1341454260383719</v>
      </c>
      <c r="AF47" s="103" t="s">
        <v>169</v>
      </c>
      <c r="AG47" s="103" t="s">
        <v>179</v>
      </c>
      <c r="AH47" s="104">
        <f>(AF48/1000)*(Aeq_Feq!$G$14)</f>
        <v>1.0813442069999999E-6</v>
      </c>
      <c r="AI47" s="67">
        <f t="shared" ref="AI47:AK47" si="61">SUM(AI48:AI60)</f>
        <v>4.9210455000000007E-2</v>
      </c>
      <c r="AJ47" s="68">
        <f t="shared" si="61"/>
        <v>1.8315251670355745E-4</v>
      </c>
      <c r="AK47" s="69">
        <f t="shared" si="61"/>
        <v>4.9393607516703561E-2</v>
      </c>
    </row>
    <row r="48" spans="1:37" x14ac:dyDescent="0.25">
      <c r="A48" s="23" t="str">
        <f>isospec!A14</f>
        <v>Rn-222</v>
      </c>
      <c r="B48" s="75">
        <f>Cia_222*1000</f>
        <v>5000</v>
      </c>
      <c r="C48" s="76">
        <f t="shared" ref="C48:C49" si="62">IFERROR(B48*IFAres_adj_d,".")</f>
        <v>30961538.461538453</v>
      </c>
      <c r="D48" s="77">
        <f t="shared" ref="D48:D49" si="63">IFERROR(B48*EFres*(1/365)*1*ETres*(1/24)*GSFa,".")</f>
        <v>4794.5205479452052</v>
      </c>
      <c r="E48" s="76">
        <f>C48*isospec!$D14</f>
        <v>202.79807692307688</v>
      </c>
      <c r="F48" s="78">
        <f>D48*isospec!$E14</f>
        <v>9.684940980821918E-3</v>
      </c>
      <c r="G48" s="74">
        <f>SUM(E48:F48)</f>
        <v>202.80776186405771</v>
      </c>
      <c r="H48" s="70">
        <f>IFERROR(Cia_222*(AFgw*1000*isospec!$M14),".")</f>
        <v>21.66518842633371</v>
      </c>
      <c r="I48" s="71">
        <f t="shared" ref="I48:I49" si="64">IFERROR(H48*IFAres_adj_d,".")</f>
        <v>134157.5129476818</v>
      </c>
      <c r="J48" s="72">
        <f t="shared" ref="J48:J49" si="65">IFERROR(H48*EFres*(1/365)*1*ETres*(1/24)*GSFa,".")</f>
        <v>20.774838217032325</v>
      </c>
      <c r="K48" s="71">
        <f>IFERROR(I48*isospec!$D14,".")</f>
        <v>0.87873170980731574</v>
      </c>
      <c r="L48" s="73">
        <f>IFERROR(J48*isospec!$E14,".")</f>
        <v>4.1965214249485614E-5</v>
      </c>
      <c r="M48" s="74">
        <f t="shared" ref="M48:M49" si="66">SUM(K48:L48)</f>
        <v>0.87877367502156523</v>
      </c>
      <c r="N48" s="70">
        <f>Cia_222*AFss</f>
        <v>0.15</v>
      </c>
      <c r="O48" s="71">
        <f t="shared" ref="O48:O49" si="67">IFERROR(N48*IFAres_adj_d,".")</f>
        <v>928.84615384615358</v>
      </c>
      <c r="P48" s="72">
        <f t="shared" ref="P48:P49" si="68">IFERROR(N48*EFres*(1/365)*1*ETres*(1/24)*GSFa,".")</f>
        <v>0.14383561643835613</v>
      </c>
      <c r="Q48" s="71">
        <f>O48*isospec!$D14</f>
        <v>6.0839423076923058E-3</v>
      </c>
      <c r="R48" s="73">
        <f>P48*isospec!$E14</f>
        <v>2.9054822942465748E-7</v>
      </c>
      <c r="S48" s="74">
        <f t="shared" ref="S48:S49" si="69">SUM(Q48:R48)</f>
        <v>6.0842328559217304E-3</v>
      </c>
      <c r="T48" s="75">
        <f>Cia_222*1000</f>
        <v>5000</v>
      </c>
      <c r="U48" s="71">
        <f t="shared" ref="U48:U49" si="70">IFERROR(T48*EFw*1*ETw*(1/24)*IRAw,".")</f>
        <v>24999999.999999996</v>
      </c>
      <c r="V48" s="72">
        <f t="shared" ref="V48:V49" si="71">IFERROR(T48*EFw*(1/365)*1*ETw*(1/24)*GSFa,".")</f>
        <v>1141.552511415525</v>
      </c>
      <c r="W48" s="76">
        <f>U48*isospec!$D14</f>
        <v>163.74999999999997</v>
      </c>
      <c r="X48" s="78">
        <f>V48*isospec!$E14</f>
        <v>2.3059383287671233E-3</v>
      </c>
      <c r="Y48" s="74">
        <f>SUM(W48:X48)</f>
        <v>163.75230593832873</v>
      </c>
      <c r="Z48" s="70">
        <f>IFERROR(Cia_222*(AFgw*1000*isospec!$M14),".")</f>
        <v>21.66518842633371</v>
      </c>
      <c r="AA48" s="71">
        <f t="shared" ref="AA48:AA49" si="72">IFERROR(Z48*EFw*1*ETw*(1/24)*IRAw,".")</f>
        <v>108325.94213166853</v>
      </c>
      <c r="AB48" s="72">
        <f t="shared" ref="AB48:AB49" si="73">IFERROR(Z48*EFw*(1/365)*1*ETw*(1/24)*GSFa,".")</f>
        <v>4.9463900516743626</v>
      </c>
      <c r="AC48" s="71">
        <f>IFERROR(AA48*isospec!$D14,".")</f>
        <v>0.70953492096242887</v>
      </c>
      <c r="AD48" s="73">
        <f>IFERROR(AB48*isospec!$E14,".")</f>
        <v>9.9917176784489549E-6</v>
      </c>
      <c r="AE48" s="74">
        <f t="shared" ref="AE48:AE49" si="74">SUM(AC48:AD48)</f>
        <v>0.70954491268010733</v>
      </c>
      <c r="AF48" s="70">
        <f>Cia_222*AFss</f>
        <v>0.15</v>
      </c>
      <c r="AG48" s="71">
        <f t="shared" ref="AG48:AG49" si="75">IFERROR(AF48*EFw*1*ETw*(1/24)*IRAw,".")</f>
        <v>750</v>
      </c>
      <c r="AH48" s="72">
        <f t="shared" ref="AH48:AH49" si="76">IFERROR(AF48*EFw*(1/365)*1*ETw*(1/24)*GSFa,".")</f>
        <v>3.4246575342465752E-2</v>
      </c>
      <c r="AI48" s="71">
        <f>AG48*isospec!$D14</f>
        <v>4.9125000000000002E-3</v>
      </c>
      <c r="AJ48" s="73">
        <f>AH48*isospec!$E14</f>
        <v>6.9178149863013703E-8</v>
      </c>
      <c r="AK48" s="74">
        <f t="shared" ref="AK48:AK49" si="77">SUM(AI48:AJ48)</f>
        <v>4.9125691781498632E-3</v>
      </c>
    </row>
    <row r="49" spans="1:37" x14ac:dyDescent="0.25">
      <c r="A49" s="23" t="str">
        <f>isospec!A15</f>
        <v>Rn-222~At-218</v>
      </c>
      <c r="B49" s="70">
        <f>B$48*Aeq_Feq!$B15</f>
        <v>0.98499999999999999</v>
      </c>
      <c r="C49" s="71">
        <f t="shared" si="62"/>
        <v>6099.4230769230753</v>
      </c>
      <c r="D49" s="72">
        <f t="shared" si="63"/>
        <v>0.94452054794520546</v>
      </c>
      <c r="E49" s="71">
        <f>C49*isospec!$D15</f>
        <v>0</v>
      </c>
      <c r="F49" s="73">
        <f>D49*isospec!$E15</f>
        <v>1.0807946276054795E-7</v>
      </c>
      <c r="G49" s="74">
        <f t="shared" ref="G49" si="78">SUM(E49:F49)</f>
        <v>1.0807946276054795E-7</v>
      </c>
      <c r="H49" s="70">
        <f>H$48*Aeq_Feq!$B15</f>
        <v>4.2680421199877408E-3</v>
      </c>
      <c r="I49" s="71">
        <f t="shared" si="64"/>
        <v>26.42903005069331</v>
      </c>
      <c r="J49" s="72">
        <f t="shared" si="65"/>
        <v>4.0926431287553683E-3</v>
      </c>
      <c r="K49" s="71">
        <f>IFERROR(I49*isospec!$D15,".")</f>
        <v>0</v>
      </c>
      <c r="L49" s="73">
        <f>IFERROR(J49*isospec!$E15,".")</f>
        <v>4.6831238514483776E-10</v>
      </c>
      <c r="M49" s="74">
        <f t="shared" si="66"/>
        <v>4.6831238514483776E-10</v>
      </c>
      <c r="N49" s="70">
        <f>N$48*Aeq_Feq!$B15</f>
        <v>2.9549999999999997E-5</v>
      </c>
      <c r="O49" s="71">
        <f t="shared" si="67"/>
        <v>0.18298269230769224</v>
      </c>
      <c r="P49" s="72">
        <f t="shared" si="68"/>
        <v>2.8335616438356163E-5</v>
      </c>
      <c r="Q49" s="71">
        <f>O49*isospec!$D15</f>
        <v>0</v>
      </c>
      <c r="R49" s="73">
        <f>P49*isospec!$E15</f>
        <v>3.2423838828164383E-12</v>
      </c>
      <c r="S49" s="74">
        <f t="shared" si="69"/>
        <v>3.2423838828164383E-12</v>
      </c>
      <c r="T49" s="70">
        <f>T$48*Aeq_Feq!$C15</f>
        <v>0.95500000000000007</v>
      </c>
      <c r="U49" s="71">
        <f t="shared" si="70"/>
        <v>4775.0000000000009</v>
      </c>
      <c r="V49" s="72">
        <f t="shared" si="71"/>
        <v>0.2180365296803653</v>
      </c>
      <c r="W49" s="71">
        <f>U49*isospec!$D15</f>
        <v>0</v>
      </c>
      <c r="X49" s="73">
        <f>V49*isospec!$E15</f>
        <v>2.4949452969863014E-8</v>
      </c>
      <c r="Y49" s="74">
        <f t="shared" ref="Y49" si="79">SUM(W49:X49)</f>
        <v>2.4949452969863014E-8</v>
      </c>
      <c r="Z49" s="70">
        <f>Z$48*Aeq_Feq!$C15</f>
        <v>4.1380509894297385E-3</v>
      </c>
      <c r="AA49" s="71">
        <f t="shared" si="72"/>
        <v>20.690254947148691</v>
      </c>
      <c r="AB49" s="72">
        <f t="shared" si="73"/>
        <v>9.4476049986980332E-4</v>
      </c>
      <c r="AC49" s="71">
        <f>IFERROR(AA49*isospec!$D15,".")</f>
        <v>0</v>
      </c>
      <c r="AD49" s="73">
        <f>IFERROR(AB49*isospec!$E15,".")</f>
        <v>1.0810691994520667E-10</v>
      </c>
      <c r="AE49" s="74">
        <f t="shared" si="74"/>
        <v>1.0810691994520667E-10</v>
      </c>
      <c r="AF49" s="70">
        <f>AF$48*Aeq_Feq!$C15</f>
        <v>2.8649999999999998E-5</v>
      </c>
      <c r="AG49" s="71">
        <f t="shared" si="75"/>
        <v>0.14324999999999999</v>
      </c>
      <c r="AH49" s="72">
        <f t="shared" si="76"/>
        <v>6.5410958904109584E-6</v>
      </c>
      <c r="AI49" s="71">
        <f>AG49*isospec!$D15</f>
        <v>0</v>
      </c>
      <c r="AJ49" s="73">
        <f>AH49*isospec!$E15</f>
        <v>7.4848358909589041E-13</v>
      </c>
      <c r="AK49" s="74">
        <f t="shared" si="77"/>
        <v>7.4848358909589041E-13</v>
      </c>
    </row>
    <row r="50" spans="1:37" x14ac:dyDescent="0.25">
      <c r="A50" s="23" t="str">
        <f>isospec!A16</f>
        <v>Rn-222~Bi-210</v>
      </c>
      <c r="B50" s="70">
        <f>B$48*Aeq_Feq!$B16</f>
        <v>0</v>
      </c>
      <c r="C50" s="71">
        <f t="shared" ref="C50:C60" si="80">IFERROR(B50*IFAres_adj_d,".")</f>
        <v>0</v>
      </c>
      <c r="D50" s="72">
        <f t="shared" ref="D50:D60" si="81">IFERROR(B50*EFres*(1/365)*1*ETres*(1/24)*GSFa,".")</f>
        <v>0</v>
      </c>
      <c r="E50" s="71">
        <f>C50*isospec!$D16</f>
        <v>0</v>
      </c>
      <c r="F50" s="73">
        <f>D50*isospec!$E16</f>
        <v>0</v>
      </c>
      <c r="G50" s="74">
        <f t="shared" ref="G50:G60" si="82">SUM(E50:F50)</f>
        <v>0</v>
      </c>
      <c r="H50" s="70">
        <f>H$48*Aeq_Feq!$B16</f>
        <v>0</v>
      </c>
      <c r="I50" s="71">
        <f t="shared" ref="I50:I60" si="83">IFERROR(H50*IFAres_adj_d,".")</f>
        <v>0</v>
      </c>
      <c r="J50" s="72">
        <f t="shared" ref="J50:J60" si="84">IFERROR(H50*EFres*(1/365)*1*ETres*(1/24)*GSFa,".")</f>
        <v>0</v>
      </c>
      <c r="K50" s="71">
        <f>IFERROR(I50*isospec!$D16,".")</f>
        <v>0</v>
      </c>
      <c r="L50" s="73">
        <f>IFERROR(J50*isospec!$E16,".")</f>
        <v>0</v>
      </c>
      <c r="M50" s="74">
        <f t="shared" ref="M50:M60" si="85">SUM(K50:L50)</f>
        <v>0</v>
      </c>
      <c r="N50" s="70">
        <f>N$48*Aeq_Feq!$B16</f>
        <v>0</v>
      </c>
      <c r="O50" s="71">
        <f t="shared" ref="O50:O60" si="86">IFERROR(N50*IFAres_adj_d,".")</f>
        <v>0</v>
      </c>
      <c r="P50" s="72">
        <f t="shared" ref="P50:P60" si="87">IFERROR(N50*EFres*(1/365)*1*ETres*(1/24)*GSFa,".")</f>
        <v>0</v>
      </c>
      <c r="Q50" s="71">
        <f>O50*isospec!$D16</f>
        <v>0</v>
      </c>
      <c r="R50" s="73">
        <f>P50*isospec!$E16</f>
        <v>0</v>
      </c>
      <c r="S50" s="74">
        <f t="shared" ref="S50:S60" si="88">SUM(Q50:R50)</f>
        <v>0</v>
      </c>
      <c r="T50" s="70">
        <f>T$48*Aeq_Feq!$C16</f>
        <v>0</v>
      </c>
      <c r="U50" s="71">
        <f t="shared" ref="U50:U60" si="89">IFERROR(T50*EFw*1*ETw*(1/24)*IRAw,".")</f>
        <v>0</v>
      </c>
      <c r="V50" s="72">
        <f t="shared" ref="V50:V60" si="90">IFERROR(T50*EFw*(1/365)*1*ETw*(1/24)*GSFa,".")</f>
        <v>0</v>
      </c>
      <c r="W50" s="71">
        <f>U50*isospec!$D16</f>
        <v>0</v>
      </c>
      <c r="X50" s="73">
        <f>V50*isospec!$E16</f>
        <v>0</v>
      </c>
      <c r="Y50" s="74">
        <f t="shared" ref="Y50:Y60" si="91">SUM(W50:X50)</f>
        <v>0</v>
      </c>
      <c r="Z50" s="70">
        <f>Z$48*Aeq_Feq!$C16</f>
        <v>0</v>
      </c>
      <c r="AA50" s="71">
        <f t="shared" ref="AA50:AA60" si="92">IFERROR(Z50*EFw*1*ETw*(1/24)*IRAw,".")</f>
        <v>0</v>
      </c>
      <c r="AB50" s="72">
        <f t="shared" ref="AB50:AB60" si="93">IFERROR(Z50*EFw*(1/365)*1*ETw*(1/24)*GSFa,".")</f>
        <v>0</v>
      </c>
      <c r="AC50" s="71">
        <f>IFERROR(AA50*isospec!$D16,".")</f>
        <v>0</v>
      </c>
      <c r="AD50" s="73">
        <f>IFERROR(AB50*isospec!$E16,".")</f>
        <v>0</v>
      </c>
      <c r="AE50" s="74">
        <f t="shared" ref="AE50:AE60" si="94">SUM(AC50:AD50)</f>
        <v>0</v>
      </c>
      <c r="AF50" s="70">
        <f>AF$48*Aeq_Feq!$C16</f>
        <v>0</v>
      </c>
      <c r="AG50" s="71">
        <f t="shared" ref="AG50:AG60" si="95">IFERROR(AF50*EFw*1*ETw*(1/24)*IRAw,".")</f>
        <v>0</v>
      </c>
      <c r="AH50" s="72">
        <f t="shared" ref="AH50:AH60" si="96">IFERROR(AF50*EFw*(1/365)*1*ETw*(1/24)*GSFa,".")</f>
        <v>0</v>
      </c>
      <c r="AI50" s="71">
        <f>AG50*isospec!$D16</f>
        <v>0</v>
      </c>
      <c r="AJ50" s="73">
        <f>AH50*isospec!$E16</f>
        <v>0</v>
      </c>
      <c r="AK50" s="74">
        <f t="shared" ref="AK50:AK60" si="97">SUM(AI50:AJ50)</f>
        <v>0</v>
      </c>
    </row>
    <row r="51" spans="1:37" x14ac:dyDescent="0.25">
      <c r="A51" s="23" t="str">
        <f>isospec!A17</f>
        <v>Rn-222~Bi-214</v>
      </c>
      <c r="B51" s="70">
        <f>B$48*Aeq_Feq!$B17</f>
        <v>4069.9999999999995</v>
      </c>
      <c r="C51" s="71">
        <f t="shared" si="80"/>
        <v>25202692.307692297</v>
      </c>
      <c r="D51" s="72">
        <f t="shared" si="81"/>
        <v>3902.739726027396</v>
      </c>
      <c r="E51" s="71">
        <f>C51*isospec!$D17</f>
        <v>922.41853846153811</v>
      </c>
      <c r="F51" s="73">
        <f>D51*isospec!$E17</f>
        <v>32.399990360778069</v>
      </c>
      <c r="G51" s="74">
        <f t="shared" si="82"/>
        <v>954.81852882231613</v>
      </c>
      <c r="H51" s="70">
        <f>H$48*Aeq_Feq!$B17</f>
        <v>17.635463379035638</v>
      </c>
      <c r="I51" s="71">
        <f t="shared" si="83"/>
        <v>109204.21553941297</v>
      </c>
      <c r="J51" s="72">
        <f t="shared" si="84"/>
        <v>16.910718308664308</v>
      </c>
      <c r="K51" s="71">
        <f>IFERROR(I51*isospec!$D17,".")</f>
        <v>3.9968742887425148</v>
      </c>
      <c r="L51" s="73">
        <f>IFERROR(J51*isospec!$E17,".")</f>
        <v>0.14039037923553058</v>
      </c>
      <c r="M51" s="74">
        <f t="shared" si="85"/>
        <v>4.1372646679780454</v>
      </c>
      <c r="N51" s="70">
        <f>N$48*Aeq_Feq!$B17</f>
        <v>0.12209999999999999</v>
      </c>
      <c r="O51" s="71">
        <f t="shared" si="86"/>
        <v>756.08076923076896</v>
      </c>
      <c r="P51" s="72">
        <f t="shared" si="87"/>
        <v>0.11708219178082188</v>
      </c>
      <c r="Q51" s="71">
        <f>O51*isospec!$D17</f>
        <v>2.7672556153846145E-2</v>
      </c>
      <c r="R51" s="73">
        <f>P51*isospec!$E17</f>
        <v>9.7199971082334211E-4</v>
      </c>
      <c r="S51" s="74">
        <f t="shared" si="88"/>
        <v>2.8644555864669487E-2</v>
      </c>
      <c r="T51" s="70">
        <f>T$48*Aeq_Feq!$C17</f>
        <v>2680</v>
      </c>
      <c r="U51" s="71">
        <f t="shared" si="89"/>
        <v>13399999.999999998</v>
      </c>
      <c r="V51" s="72">
        <f t="shared" si="90"/>
        <v>611.8721461187215</v>
      </c>
      <c r="W51" s="71">
        <f>U51*isospec!$D17</f>
        <v>490.43999999999994</v>
      </c>
      <c r="X51" s="73">
        <f>V51*isospec!$E17</f>
        <v>5.0796755684383559</v>
      </c>
      <c r="Y51" s="74">
        <f t="shared" si="91"/>
        <v>495.51967556843829</v>
      </c>
      <c r="Z51" s="70">
        <f>Z$48*Aeq_Feq!$C17</f>
        <v>11.61254099651487</v>
      </c>
      <c r="AA51" s="71">
        <f t="shared" si="92"/>
        <v>58062.704982574345</v>
      </c>
      <c r="AB51" s="72">
        <f t="shared" si="93"/>
        <v>2.6512650676974587</v>
      </c>
      <c r="AC51" s="71">
        <f>IFERROR(AA51*isospec!$D17,".")</f>
        <v>2.125095002362221</v>
      </c>
      <c r="AD51" s="73">
        <f>IFERROR(AB51*isospec!$E17,".")</f>
        <v>2.2010425666972158E-2</v>
      </c>
      <c r="AE51" s="74">
        <f t="shared" si="94"/>
        <v>2.1471054280291932</v>
      </c>
      <c r="AF51" s="70">
        <f>AF$48*Aeq_Feq!$C17</f>
        <v>8.0399999999999999E-2</v>
      </c>
      <c r="AG51" s="71">
        <f t="shared" si="95"/>
        <v>402</v>
      </c>
      <c r="AH51" s="72">
        <f t="shared" si="96"/>
        <v>1.8356164383561642E-2</v>
      </c>
      <c r="AI51" s="71">
        <f>AG51*isospec!$D17</f>
        <v>1.4713200000000001E-2</v>
      </c>
      <c r="AJ51" s="73">
        <f>AH51*isospec!$E17</f>
        <v>1.5239026705315067E-4</v>
      </c>
      <c r="AK51" s="74">
        <f t="shared" si="97"/>
        <v>1.4865590267053152E-2</v>
      </c>
    </row>
    <row r="52" spans="1:37" x14ac:dyDescent="0.25">
      <c r="A52" s="23" t="str">
        <f>isospec!A18</f>
        <v>Rn-222~Hg-206</v>
      </c>
      <c r="B52" s="70">
        <f>B$48*Aeq_Feq!$B18</f>
        <v>0</v>
      </c>
      <c r="C52" s="71">
        <f t="shared" si="80"/>
        <v>0</v>
      </c>
      <c r="D52" s="72">
        <f t="shared" si="81"/>
        <v>0</v>
      </c>
      <c r="E52" s="71">
        <f>C52*isospec!$D18</f>
        <v>0</v>
      </c>
      <c r="F52" s="73">
        <f>D52*isospec!$E18</f>
        <v>0</v>
      </c>
      <c r="G52" s="74">
        <f t="shared" si="82"/>
        <v>0</v>
      </c>
      <c r="H52" s="70">
        <f>H$48*Aeq_Feq!$B18</f>
        <v>0</v>
      </c>
      <c r="I52" s="71">
        <f t="shared" si="83"/>
        <v>0</v>
      </c>
      <c r="J52" s="72">
        <f t="shared" si="84"/>
        <v>0</v>
      </c>
      <c r="K52" s="71">
        <f>IFERROR(I52*isospec!$D18,".")</f>
        <v>0</v>
      </c>
      <c r="L52" s="73">
        <f>IFERROR(J52*isospec!$E18,".")</f>
        <v>0</v>
      </c>
      <c r="M52" s="74">
        <f t="shared" si="85"/>
        <v>0</v>
      </c>
      <c r="N52" s="70">
        <f>N$48*Aeq_Feq!$B18</f>
        <v>0</v>
      </c>
      <c r="O52" s="71">
        <f t="shared" si="86"/>
        <v>0</v>
      </c>
      <c r="P52" s="72">
        <f t="shared" si="87"/>
        <v>0</v>
      </c>
      <c r="Q52" s="71">
        <f>O52*isospec!$D18</f>
        <v>0</v>
      </c>
      <c r="R52" s="73">
        <f>P52*isospec!$E18</f>
        <v>0</v>
      </c>
      <c r="S52" s="74">
        <f t="shared" si="88"/>
        <v>0</v>
      </c>
      <c r="T52" s="70">
        <f>T$48*Aeq_Feq!$C18</f>
        <v>0</v>
      </c>
      <c r="U52" s="71">
        <f t="shared" si="89"/>
        <v>0</v>
      </c>
      <c r="V52" s="72">
        <f t="shared" si="90"/>
        <v>0</v>
      </c>
      <c r="W52" s="71">
        <f>U52*isospec!$D18</f>
        <v>0</v>
      </c>
      <c r="X52" s="73">
        <f>V52*isospec!$E18</f>
        <v>0</v>
      </c>
      <c r="Y52" s="74">
        <f t="shared" si="91"/>
        <v>0</v>
      </c>
      <c r="Z52" s="70">
        <f>Z$48*Aeq_Feq!$C18</f>
        <v>0</v>
      </c>
      <c r="AA52" s="71">
        <f t="shared" si="92"/>
        <v>0</v>
      </c>
      <c r="AB52" s="72">
        <f t="shared" si="93"/>
        <v>0</v>
      </c>
      <c r="AC52" s="71">
        <f>IFERROR(AA52*isospec!$D18,".")</f>
        <v>0</v>
      </c>
      <c r="AD52" s="73">
        <f>IFERROR(AB52*isospec!$E18,".")</f>
        <v>0</v>
      </c>
      <c r="AE52" s="74">
        <f t="shared" si="94"/>
        <v>0</v>
      </c>
      <c r="AF52" s="70">
        <f>AF$48*Aeq_Feq!$C18</f>
        <v>0</v>
      </c>
      <c r="AG52" s="71">
        <f t="shared" si="95"/>
        <v>0</v>
      </c>
      <c r="AH52" s="72">
        <f t="shared" si="96"/>
        <v>0</v>
      </c>
      <c r="AI52" s="71">
        <f>AG52*isospec!$D18</f>
        <v>0</v>
      </c>
      <c r="AJ52" s="73">
        <f>AH52*isospec!$E18</f>
        <v>0</v>
      </c>
      <c r="AK52" s="74">
        <f t="shared" si="97"/>
        <v>0</v>
      </c>
    </row>
    <row r="53" spans="1:37" x14ac:dyDescent="0.25">
      <c r="A53" s="23" t="str">
        <f>isospec!A19</f>
        <v>Rn-222~Pb-210</v>
      </c>
      <c r="B53" s="70">
        <f>B$48*Aeq_Feq!$B19</f>
        <v>0</v>
      </c>
      <c r="C53" s="71">
        <f t="shared" si="80"/>
        <v>0</v>
      </c>
      <c r="D53" s="72">
        <f t="shared" si="81"/>
        <v>0</v>
      </c>
      <c r="E53" s="71">
        <f>C53*isospec!$D19</f>
        <v>0</v>
      </c>
      <c r="F53" s="73">
        <f>D53*isospec!$E19</f>
        <v>0</v>
      </c>
      <c r="G53" s="74">
        <f t="shared" si="82"/>
        <v>0</v>
      </c>
      <c r="H53" s="70">
        <f>H$48*Aeq_Feq!$B19</f>
        <v>0</v>
      </c>
      <c r="I53" s="71">
        <f t="shared" si="83"/>
        <v>0</v>
      </c>
      <c r="J53" s="72">
        <f t="shared" si="84"/>
        <v>0</v>
      </c>
      <c r="K53" s="71">
        <f>IFERROR(I53*isospec!$D19,".")</f>
        <v>0</v>
      </c>
      <c r="L53" s="73">
        <f>IFERROR(J53*isospec!$E19,".")</f>
        <v>0</v>
      </c>
      <c r="M53" s="74">
        <f t="shared" si="85"/>
        <v>0</v>
      </c>
      <c r="N53" s="70">
        <f>N$48*Aeq_Feq!$B19</f>
        <v>0</v>
      </c>
      <c r="O53" s="71">
        <f t="shared" si="86"/>
        <v>0</v>
      </c>
      <c r="P53" s="72">
        <f t="shared" si="87"/>
        <v>0</v>
      </c>
      <c r="Q53" s="71">
        <f>O53*isospec!$D19</f>
        <v>0</v>
      </c>
      <c r="R53" s="73">
        <f>P53*isospec!$E19</f>
        <v>0</v>
      </c>
      <c r="S53" s="74">
        <f t="shared" si="88"/>
        <v>0</v>
      </c>
      <c r="T53" s="70">
        <f>T$48*Aeq_Feq!$C19</f>
        <v>0</v>
      </c>
      <c r="U53" s="71">
        <f t="shared" si="89"/>
        <v>0</v>
      </c>
      <c r="V53" s="72">
        <f t="shared" si="90"/>
        <v>0</v>
      </c>
      <c r="W53" s="71">
        <f>U53*isospec!$D19</f>
        <v>0</v>
      </c>
      <c r="X53" s="73">
        <f>V53*isospec!$E19</f>
        <v>0</v>
      </c>
      <c r="Y53" s="74">
        <f t="shared" si="91"/>
        <v>0</v>
      </c>
      <c r="Z53" s="70">
        <f>Z$48*Aeq_Feq!$C19</f>
        <v>0</v>
      </c>
      <c r="AA53" s="71">
        <f t="shared" si="92"/>
        <v>0</v>
      </c>
      <c r="AB53" s="72">
        <f t="shared" si="93"/>
        <v>0</v>
      </c>
      <c r="AC53" s="71">
        <f>IFERROR(AA53*isospec!$D19,".")</f>
        <v>0</v>
      </c>
      <c r="AD53" s="73">
        <f>IFERROR(AB53*isospec!$E19,".")</f>
        <v>0</v>
      </c>
      <c r="AE53" s="74">
        <f t="shared" si="94"/>
        <v>0</v>
      </c>
      <c r="AF53" s="70">
        <f>AF$48*Aeq_Feq!$C19</f>
        <v>0</v>
      </c>
      <c r="AG53" s="71">
        <f t="shared" si="95"/>
        <v>0</v>
      </c>
      <c r="AH53" s="72">
        <f t="shared" si="96"/>
        <v>0</v>
      </c>
      <c r="AI53" s="71">
        <f>AG53*isospec!$D19</f>
        <v>0</v>
      </c>
      <c r="AJ53" s="73">
        <f>AH53*isospec!$E19</f>
        <v>0</v>
      </c>
      <c r="AK53" s="74">
        <f t="shared" si="97"/>
        <v>0</v>
      </c>
    </row>
    <row r="54" spans="1:37" x14ac:dyDescent="0.25">
      <c r="A54" s="23" t="str">
        <f>isospec!A20</f>
        <v>Rn-222~Pb-214</v>
      </c>
      <c r="B54" s="70">
        <f>B$48*Aeq_Feq!$B20</f>
        <v>4420</v>
      </c>
      <c r="C54" s="71">
        <f t="shared" si="80"/>
        <v>27369999.999999993</v>
      </c>
      <c r="D54" s="72">
        <f t="shared" si="81"/>
        <v>4238.3561643835619</v>
      </c>
      <c r="E54" s="71">
        <f>C54*isospec!$D20</f>
        <v>1275.4419999999998</v>
      </c>
      <c r="F54" s="73">
        <f>D54*isospec!$E20</f>
        <v>5.4932089526136991</v>
      </c>
      <c r="G54" s="74">
        <f t="shared" si="82"/>
        <v>1280.9352089526135</v>
      </c>
      <c r="H54" s="70">
        <f>H$48*Aeq_Feq!$B20</f>
        <v>19.152026568878998</v>
      </c>
      <c r="I54" s="71">
        <f t="shared" si="83"/>
        <v>118595.24144575068</v>
      </c>
      <c r="J54" s="72">
        <f t="shared" si="84"/>
        <v>18.364956983856576</v>
      </c>
      <c r="K54" s="71">
        <f>IFERROR(I54*isospec!$D20,".")</f>
        <v>5.5265382513719823</v>
      </c>
      <c r="L54" s="73">
        <f>IFERROR(J54*isospec!$E20,".")</f>
        <v>2.3802281404719804E-2</v>
      </c>
      <c r="M54" s="74">
        <f t="shared" si="85"/>
        <v>5.5503405327767021</v>
      </c>
      <c r="N54" s="70">
        <f>N$48*Aeq_Feq!$B20</f>
        <v>0.1326</v>
      </c>
      <c r="O54" s="71">
        <f t="shared" si="86"/>
        <v>821.0999999999998</v>
      </c>
      <c r="P54" s="72">
        <f t="shared" si="87"/>
        <v>0.12715068493150683</v>
      </c>
      <c r="Q54" s="71">
        <f>O54*isospec!$D20</f>
        <v>3.8263259999999993E-2</v>
      </c>
      <c r="R54" s="73">
        <f>P54*isospec!$E20</f>
        <v>1.6479626857841093E-4</v>
      </c>
      <c r="S54" s="74">
        <f t="shared" si="88"/>
        <v>3.8428056268578405E-2</v>
      </c>
      <c r="T54" s="70">
        <f>T$48*Aeq_Feq!$C20</f>
        <v>3449.9999999999995</v>
      </c>
      <c r="U54" s="71">
        <f t="shared" si="89"/>
        <v>17249999.999999996</v>
      </c>
      <c r="V54" s="72">
        <f t="shared" si="90"/>
        <v>787.67123287671222</v>
      </c>
      <c r="W54" s="71">
        <f>U54*isospec!$D20</f>
        <v>803.8499999999998</v>
      </c>
      <c r="X54" s="73">
        <f>V54*isospec!$E20</f>
        <v>1.0208775526027396</v>
      </c>
      <c r="Y54" s="74">
        <f t="shared" si="91"/>
        <v>804.87087755260256</v>
      </c>
      <c r="Z54" s="70">
        <f>Z$48*Aeq_Feq!$C20</f>
        <v>14.948980014170258</v>
      </c>
      <c r="AA54" s="71">
        <f t="shared" si="92"/>
        <v>74744.90007085129</v>
      </c>
      <c r="AB54" s="72">
        <f t="shared" si="93"/>
        <v>3.4130091356553098</v>
      </c>
      <c r="AC54" s="71">
        <f>IFERROR(AA54*isospec!$D20,".")</f>
        <v>3.4831123433016704</v>
      </c>
      <c r="AD54" s="73">
        <f>IFERROR(AB54*isospec!$E20,".")</f>
        <v>4.4235009074705513E-3</v>
      </c>
      <c r="AE54" s="74">
        <f t="shared" si="94"/>
        <v>3.4875358442091411</v>
      </c>
      <c r="AF54" s="70">
        <f>AF$48*Aeq_Feq!$C20</f>
        <v>0.10349999999999999</v>
      </c>
      <c r="AG54" s="71">
        <f t="shared" si="95"/>
        <v>517.5</v>
      </c>
      <c r="AH54" s="72">
        <f t="shared" si="96"/>
        <v>2.363013698630137E-2</v>
      </c>
      <c r="AI54" s="71">
        <f>AG54*isospec!$D20</f>
        <v>2.4115500000000002E-2</v>
      </c>
      <c r="AJ54" s="73">
        <f>AH54*isospec!$E20</f>
        <v>3.0626326578082192E-5</v>
      </c>
      <c r="AK54" s="74">
        <f t="shared" si="97"/>
        <v>2.4146126326578084E-2</v>
      </c>
    </row>
    <row r="55" spans="1:37" x14ac:dyDescent="0.25">
      <c r="A55" s="23" t="str">
        <f>isospec!A21</f>
        <v>Rn-222~Po-210</v>
      </c>
      <c r="B55" s="70">
        <f>B$48*Aeq_Feq!$B21</f>
        <v>0</v>
      </c>
      <c r="C55" s="71">
        <f t="shared" si="80"/>
        <v>0</v>
      </c>
      <c r="D55" s="72">
        <f t="shared" si="81"/>
        <v>0</v>
      </c>
      <c r="E55" s="71">
        <f>C55*isospec!$D21</f>
        <v>0</v>
      </c>
      <c r="F55" s="73">
        <f>D55*isospec!$E21</f>
        <v>0</v>
      </c>
      <c r="G55" s="74">
        <f t="shared" si="82"/>
        <v>0</v>
      </c>
      <c r="H55" s="70">
        <f>H$48*Aeq_Feq!$B21</f>
        <v>0</v>
      </c>
      <c r="I55" s="71">
        <f t="shared" si="83"/>
        <v>0</v>
      </c>
      <c r="J55" s="72">
        <f t="shared" si="84"/>
        <v>0</v>
      </c>
      <c r="K55" s="71">
        <f>IFERROR(I55*isospec!$D21,".")</f>
        <v>0</v>
      </c>
      <c r="L55" s="73">
        <f>IFERROR(J55*isospec!$E21,".")</f>
        <v>0</v>
      </c>
      <c r="M55" s="74">
        <f t="shared" si="85"/>
        <v>0</v>
      </c>
      <c r="N55" s="70">
        <f>N$48*Aeq_Feq!$B21</f>
        <v>0</v>
      </c>
      <c r="O55" s="71">
        <f t="shared" si="86"/>
        <v>0</v>
      </c>
      <c r="P55" s="72">
        <f t="shared" si="87"/>
        <v>0</v>
      </c>
      <c r="Q55" s="71">
        <f>O55*isospec!$D21</f>
        <v>0</v>
      </c>
      <c r="R55" s="73">
        <f>P55*isospec!$E21</f>
        <v>0</v>
      </c>
      <c r="S55" s="74">
        <f t="shared" si="88"/>
        <v>0</v>
      </c>
      <c r="T55" s="70">
        <f>T$48*Aeq_Feq!$C21</f>
        <v>0</v>
      </c>
      <c r="U55" s="71">
        <f t="shared" si="89"/>
        <v>0</v>
      </c>
      <c r="V55" s="72">
        <f t="shared" si="90"/>
        <v>0</v>
      </c>
      <c r="W55" s="71">
        <f>U55*isospec!$D21</f>
        <v>0</v>
      </c>
      <c r="X55" s="73">
        <f>V55*isospec!$E21</f>
        <v>0</v>
      </c>
      <c r="Y55" s="74">
        <f t="shared" si="91"/>
        <v>0</v>
      </c>
      <c r="Z55" s="70">
        <f>Z$48*Aeq_Feq!$C21</f>
        <v>0</v>
      </c>
      <c r="AA55" s="71">
        <f t="shared" si="92"/>
        <v>0</v>
      </c>
      <c r="AB55" s="72">
        <f t="shared" si="93"/>
        <v>0</v>
      </c>
      <c r="AC55" s="71">
        <f>IFERROR(AA55*isospec!$D21,".")</f>
        <v>0</v>
      </c>
      <c r="AD55" s="73">
        <f>IFERROR(AB55*isospec!$E21,".")</f>
        <v>0</v>
      </c>
      <c r="AE55" s="74">
        <f t="shared" si="94"/>
        <v>0</v>
      </c>
      <c r="AF55" s="70">
        <f>AF$48*Aeq_Feq!$C21</f>
        <v>0</v>
      </c>
      <c r="AG55" s="71">
        <f t="shared" si="95"/>
        <v>0</v>
      </c>
      <c r="AH55" s="72">
        <f t="shared" si="96"/>
        <v>0</v>
      </c>
      <c r="AI55" s="71">
        <f>AG55*isospec!$D21</f>
        <v>0</v>
      </c>
      <c r="AJ55" s="73">
        <f>AH55*isospec!$E21</f>
        <v>0</v>
      </c>
      <c r="AK55" s="74">
        <f t="shared" si="97"/>
        <v>0</v>
      </c>
    </row>
    <row r="56" spans="1:37" x14ac:dyDescent="0.25">
      <c r="A56" s="23" t="str">
        <f>isospec!A22</f>
        <v>Rn-222~Po-214</v>
      </c>
      <c r="B56" s="70">
        <f>B$48*Aeq_Feq!$B22</f>
        <v>4069.9999999999995</v>
      </c>
      <c r="C56" s="71">
        <f t="shared" si="80"/>
        <v>25202692.307692297</v>
      </c>
      <c r="D56" s="72">
        <f t="shared" si="81"/>
        <v>3902.739726027396</v>
      </c>
      <c r="E56" s="71">
        <f>C56*isospec!$D22</f>
        <v>0</v>
      </c>
      <c r="F56" s="73">
        <f>D56*isospec!$E22</f>
        <v>1.731645054443835E-3</v>
      </c>
      <c r="G56" s="74">
        <f t="shared" si="82"/>
        <v>1.731645054443835E-3</v>
      </c>
      <c r="H56" s="70">
        <f>H$48*Aeq_Feq!$B22</f>
        <v>17.635463379035638</v>
      </c>
      <c r="I56" s="71">
        <f t="shared" si="83"/>
        <v>109204.21553941297</v>
      </c>
      <c r="J56" s="72">
        <f t="shared" si="84"/>
        <v>16.910718308664308</v>
      </c>
      <c r="K56" s="71">
        <f>IFERROR(I56*isospec!$D22,".")</f>
        <v>0</v>
      </c>
      <c r="L56" s="73">
        <f>IFERROR(J56*isospec!$E22,".")</f>
        <v>7.5032832784109164E-6</v>
      </c>
      <c r="M56" s="74">
        <f t="shared" si="85"/>
        <v>7.5032832784109164E-6</v>
      </c>
      <c r="N56" s="70">
        <f>N$48*Aeq_Feq!$B22</f>
        <v>0.12209999999999999</v>
      </c>
      <c r="O56" s="71">
        <f t="shared" si="86"/>
        <v>756.08076923076896</v>
      </c>
      <c r="P56" s="72">
        <f t="shared" si="87"/>
        <v>0.11708219178082188</v>
      </c>
      <c r="Q56" s="71">
        <f>O56*isospec!$D22</f>
        <v>0</v>
      </c>
      <c r="R56" s="73">
        <f>P56*isospec!$E22</f>
        <v>5.1949351633315054E-8</v>
      </c>
      <c r="S56" s="74">
        <f t="shared" si="88"/>
        <v>5.1949351633315054E-8</v>
      </c>
      <c r="T56" s="70">
        <f>T$48*Aeq_Feq!$C22</f>
        <v>2680</v>
      </c>
      <c r="U56" s="71">
        <f t="shared" si="89"/>
        <v>13399999.999999998</v>
      </c>
      <c r="V56" s="72">
        <f t="shared" si="90"/>
        <v>611.8721461187215</v>
      </c>
      <c r="W56" s="71">
        <f>U56*isospec!$D22</f>
        <v>0</v>
      </c>
      <c r="X56" s="73">
        <f>V56*isospec!$E22</f>
        <v>2.7148758312328766E-4</v>
      </c>
      <c r="Y56" s="74">
        <f t="shared" si="91"/>
        <v>2.7148758312328766E-4</v>
      </c>
      <c r="Z56" s="70">
        <f>Z$48*Aeq_Feq!$C22</f>
        <v>11.61254099651487</v>
      </c>
      <c r="AA56" s="71">
        <f t="shared" si="92"/>
        <v>58062.704982574345</v>
      </c>
      <c r="AB56" s="72">
        <f t="shared" si="93"/>
        <v>2.6512650676974587</v>
      </c>
      <c r="AC56" s="71">
        <f>IFERROR(AA56*isospec!$D22,".")</f>
        <v>0</v>
      </c>
      <c r="AD56" s="73">
        <f>IFERROR(AB56*isospec!$E22,".")</f>
        <v>1.1763659287551927E-6</v>
      </c>
      <c r="AE56" s="74">
        <f t="shared" si="94"/>
        <v>1.1763659287551927E-6</v>
      </c>
      <c r="AF56" s="70">
        <f>AF$48*Aeq_Feq!$C22</f>
        <v>8.0399999999999999E-2</v>
      </c>
      <c r="AG56" s="71">
        <f t="shared" si="95"/>
        <v>402</v>
      </c>
      <c r="AH56" s="72">
        <f t="shared" si="96"/>
        <v>1.8356164383561642E-2</v>
      </c>
      <c r="AI56" s="71">
        <f>AG56*isospec!$D22</f>
        <v>0</v>
      </c>
      <c r="AJ56" s="73">
        <f>AH56*isospec!$E22</f>
        <v>8.1446274936986289E-9</v>
      </c>
      <c r="AK56" s="74">
        <f t="shared" si="97"/>
        <v>8.1446274936986289E-9</v>
      </c>
    </row>
    <row r="57" spans="1:37" x14ac:dyDescent="0.25">
      <c r="A57" s="23" t="str">
        <f>isospec!A23</f>
        <v>Rn-222~Po-218</v>
      </c>
      <c r="B57" s="70">
        <f>B$48*Aeq_Feq!$B23</f>
        <v>4935</v>
      </c>
      <c r="C57" s="71">
        <f t="shared" si="80"/>
        <v>30559038.461538453</v>
      </c>
      <c r="D57" s="72">
        <f t="shared" si="81"/>
        <v>4732.1917808219168</v>
      </c>
      <c r="E57" s="71">
        <f>C57*isospec!$D23</f>
        <v>232.85987307692301</v>
      </c>
      <c r="F57" s="73">
        <f>D57*isospec!$E23</f>
        <v>1.4476691491298628E-6</v>
      </c>
      <c r="G57" s="74">
        <f t="shared" si="82"/>
        <v>232.85987452459216</v>
      </c>
      <c r="H57" s="70">
        <f>H$48*Aeq_Feq!$B23</f>
        <v>21.383540976791373</v>
      </c>
      <c r="I57" s="71">
        <f t="shared" si="83"/>
        <v>132413.46527936193</v>
      </c>
      <c r="J57" s="72">
        <f t="shared" si="84"/>
        <v>20.504765320210907</v>
      </c>
      <c r="K57" s="71">
        <f>IFERROR(I57*isospec!$D23,".")</f>
        <v>1.0089906054287379</v>
      </c>
      <c r="L57" s="73">
        <f>IFERROR(J57*isospec!$E23,".")</f>
        <v>6.2728049789777366E-9</v>
      </c>
      <c r="M57" s="74">
        <f t="shared" si="85"/>
        <v>1.0089906117015428</v>
      </c>
      <c r="N57" s="70">
        <f>N$48*Aeq_Feq!$B23</f>
        <v>0.14804999999999999</v>
      </c>
      <c r="O57" s="71">
        <f t="shared" si="86"/>
        <v>916.77115384615354</v>
      </c>
      <c r="P57" s="72">
        <f t="shared" si="87"/>
        <v>0.1419657534246575</v>
      </c>
      <c r="Q57" s="71">
        <f>O57*isospec!$D23</f>
        <v>6.9857961923076896E-3</v>
      </c>
      <c r="R57" s="73">
        <f>P57*isospec!$E23</f>
        <v>4.3430074473895886E-11</v>
      </c>
      <c r="S57" s="74">
        <f t="shared" si="88"/>
        <v>6.9857962357377642E-3</v>
      </c>
      <c r="T57" s="70">
        <f>T$48*Aeq_Feq!$C23</f>
        <v>4785</v>
      </c>
      <c r="U57" s="71">
        <f t="shared" si="89"/>
        <v>23925000</v>
      </c>
      <c r="V57" s="72">
        <f t="shared" si="90"/>
        <v>1092.4657534246576</v>
      </c>
      <c r="W57" s="71">
        <f>U57*isospec!$D23</f>
        <v>182.30850000000001</v>
      </c>
      <c r="X57" s="73">
        <f>V57*isospec!$E23</f>
        <v>3.3420643984109591E-7</v>
      </c>
      <c r="Y57" s="74">
        <f t="shared" si="91"/>
        <v>182.30850033420646</v>
      </c>
      <c r="Z57" s="70">
        <f>Z$48*Aeq_Feq!$C23</f>
        <v>20.733585324001361</v>
      </c>
      <c r="AA57" s="71">
        <f t="shared" si="92"/>
        <v>103667.92662000679</v>
      </c>
      <c r="AB57" s="72">
        <f t="shared" si="93"/>
        <v>4.7336952794523652</v>
      </c>
      <c r="AC57" s="71">
        <f>IFERROR(AA57*isospec!$D23,".")</f>
        <v>0.78994960084445176</v>
      </c>
      <c r="AD57" s="73">
        <f>IFERROR(AB57*isospec!$E23,".")</f>
        <v>1.4481290984903008E-9</v>
      </c>
      <c r="AE57" s="74">
        <f t="shared" si="94"/>
        <v>0.78994960229258082</v>
      </c>
      <c r="AF57" s="70">
        <f>AF$48*Aeq_Feq!$C23</f>
        <v>0.14354999999999998</v>
      </c>
      <c r="AG57" s="71">
        <f t="shared" si="95"/>
        <v>717.74999999999989</v>
      </c>
      <c r="AH57" s="72">
        <f t="shared" si="96"/>
        <v>3.2773972602739718E-2</v>
      </c>
      <c r="AI57" s="71">
        <f>AG57*isospec!$D23</f>
        <v>5.4692549999999993E-3</v>
      </c>
      <c r="AJ57" s="73">
        <f>AH57*isospec!$E23</f>
        <v>1.0026193195232875E-11</v>
      </c>
      <c r="AK57" s="74">
        <f t="shared" si="97"/>
        <v>5.4692550100261927E-3</v>
      </c>
    </row>
    <row r="58" spans="1:37" x14ac:dyDescent="0.25">
      <c r="A58" s="23" t="str">
        <f>isospec!A24</f>
        <v>Rn-222~Rn-218</v>
      </c>
      <c r="B58" s="70">
        <f>B$48*Aeq_Feq!$B24</f>
        <v>9.8499999999999998E-4</v>
      </c>
      <c r="C58" s="71">
        <f t="shared" si="80"/>
        <v>6.0994230769230748</v>
      </c>
      <c r="D58" s="72">
        <f t="shared" si="81"/>
        <v>9.4452054794520539E-4</v>
      </c>
      <c r="E58" s="71">
        <f>C58*isospec!$D24</f>
        <v>0</v>
      </c>
      <c r="F58" s="73">
        <f>D58*isospec!$E24</f>
        <v>3.7496956467945207E-9</v>
      </c>
      <c r="G58" s="74">
        <f t="shared" si="82"/>
        <v>3.7496956467945207E-9</v>
      </c>
      <c r="H58" s="70">
        <f>H$48*Aeq_Feq!$B24</f>
        <v>4.2680421199877408E-6</v>
      </c>
      <c r="I58" s="71">
        <f t="shared" si="83"/>
        <v>2.642903005069331E-2</v>
      </c>
      <c r="J58" s="72">
        <f t="shared" si="84"/>
        <v>4.0926431287553681E-6</v>
      </c>
      <c r="K58" s="71">
        <f>IFERROR(I58*isospec!$D24,".")</f>
        <v>0</v>
      </c>
      <c r="L58" s="73">
        <f>IFERROR(J58*isospec!$E24,".")</f>
        <v>1.6247572545841309E-11</v>
      </c>
      <c r="M58" s="74">
        <f t="shared" si="85"/>
        <v>1.6247572545841309E-11</v>
      </c>
      <c r="N58" s="70">
        <f>N$48*Aeq_Feq!$B24</f>
        <v>2.955E-8</v>
      </c>
      <c r="O58" s="71">
        <f t="shared" si="86"/>
        <v>1.8298269230769226E-4</v>
      </c>
      <c r="P58" s="72">
        <f t="shared" si="87"/>
        <v>2.833561643835616E-8</v>
      </c>
      <c r="Q58" s="71">
        <f>O58*isospec!$D24</f>
        <v>0</v>
      </c>
      <c r="R58" s="73">
        <f>P58*isospec!$E24</f>
        <v>1.124908694038356E-13</v>
      </c>
      <c r="S58" s="74">
        <f t="shared" si="88"/>
        <v>1.124908694038356E-13</v>
      </c>
      <c r="T58" s="70">
        <f>T$48*Aeq_Feq!$C24</f>
        <v>9.5500000000000001E-4</v>
      </c>
      <c r="U58" s="71">
        <f t="shared" si="89"/>
        <v>4.7749999999999995</v>
      </c>
      <c r="V58" s="72">
        <f t="shared" si="90"/>
        <v>2.1803652968036528E-4</v>
      </c>
      <c r="W58" s="71">
        <f>U58*isospec!$D24</f>
        <v>0</v>
      </c>
      <c r="X58" s="73">
        <f>V58*isospec!$E24</f>
        <v>8.6559326630136983E-10</v>
      </c>
      <c r="Y58" s="74">
        <f t="shared" si="91"/>
        <v>8.6559326630136983E-10</v>
      </c>
      <c r="Z58" s="70">
        <f>Z$48*Aeq_Feq!$C24</f>
        <v>4.138050989429739E-6</v>
      </c>
      <c r="AA58" s="71">
        <f t="shared" si="92"/>
        <v>2.0690254947148694E-2</v>
      </c>
      <c r="AB58" s="72">
        <f t="shared" si="93"/>
        <v>9.4476049986980353E-7</v>
      </c>
      <c r="AC58" s="71">
        <f>IFERROR(AA58*isospec!$D24,".")</f>
        <v>0</v>
      </c>
      <c r="AD58" s="73">
        <f>IFERROR(AB58*isospec!$E24,".")</f>
        <v>3.7506482429969671E-12</v>
      </c>
      <c r="AE58" s="74">
        <f t="shared" si="94"/>
        <v>3.7506482429969671E-12</v>
      </c>
      <c r="AF58" s="70">
        <f>AF$48*Aeq_Feq!$C24</f>
        <v>2.8649999999999998E-8</v>
      </c>
      <c r="AG58" s="71">
        <f t="shared" si="95"/>
        <v>1.4324999999999999E-4</v>
      </c>
      <c r="AH58" s="72">
        <f t="shared" si="96"/>
        <v>6.541095890410958E-9</v>
      </c>
      <c r="AI58" s="71">
        <f>AG58*isospec!$D24</f>
        <v>0</v>
      </c>
      <c r="AJ58" s="73">
        <f>AH58*isospec!$E24</f>
        <v>2.5967797989041095E-14</v>
      </c>
      <c r="AK58" s="74">
        <f t="shared" si="97"/>
        <v>2.5967797989041095E-14</v>
      </c>
    </row>
    <row r="59" spans="1:37" x14ac:dyDescent="0.25">
      <c r="A59" s="23" t="str">
        <f>isospec!A25</f>
        <v>Rn-222~Tl-206</v>
      </c>
      <c r="B59" s="70">
        <f>B$48*Aeq_Feq!$B25</f>
        <v>0</v>
      </c>
      <c r="C59" s="71">
        <f t="shared" si="80"/>
        <v>0</v>
      </c>
      <c r="D59" s="72">
        <f t="shared" si="81"/>
        <v>0</v>
      </c>
      <c r="E59" s="71">
        <f>C59*isospec!$D25</f>
        <v>0</v>
      </c>
      <c r="F59" s="73">
        <f>D59*isospec!$E25</f>
        <v>0</v>
      </c>
      <c r="G59" s="74">
        <f t="shared" si="82"/>
        <v>0</v>
      </c>
      <c r="H59" s="70">
        <f>H$48*Aeq_Feq!$B25</f>
        <v>0</v>
      </c>
      <c r="I59" s="71">
        <f t="shared" si="83"/>
        <v>0</v>
      </c>
      <c r="J59" s="72">
        <f t="shared" si="84"/>
        <v>0</v>
      </c>
      <c r="K59" s="71">
        <f>IFERROR(I59*isospec!$D25,".")</f>
        <v>0</v>
      </c>
      <c r="L59" s="73">
        <f>IFERROR(J59*isospec!$E25,".")</f>
        <v>0</v>
      </c>
      <c r="M59" s="74">
        <f t="shared" si="85"/>
        <v>0</v>
      </c>
      <c r="N59" s="70">
        <f>N$48*Aeq_Feq!$B25</f>
        <v>0</v>
      </c>
      <c r="O59" s="71">
        <f t="shared" si="86"/>
        <v>0</v>
      </c>
      <c r="P59" s="72">
        <f t="shared" si="87"/>
        <v>0</v>
      </c>
      <c r="Q59" s="71">
        <f>O59*isospec!$D25</f>
        <v>0</v>
      </c>
      <c r="R59" s="73">
        <f>P59*isospec!$E25</f>
        <v>0</v>
      </c>
      <c r="S59" s="74">
        <f t="shared" si="88"/>
        <v>0</v>
      </c>
      <c r="T59" s="70">
        <f>T$48*Aeq_Feq!$C25</f>
        <v>0</v>
      </c>
      <c r="U59" s="71">
        <f t="shared" si="89"/>
        <v>0</v>
      </c>
      <c r="V59" s="72">
        <f t="shared" si="90"/>
        <v>0</v>
      </c>
      <c r="W59" s="71">
        <f>U59*isospec!$D25</f>
        <v>0</v>
      </c>
      <c r="X59" s="73">
        <f>V59*isospec!$E25</f>
        <v>0</v>
      </c>
      <c r="Y59" s="74">
        <f t="shared" si="91"/>
        <v>0</v>
      </c>
      <c r="Z59" s="70">
        <f>Z$48*Aeq_Feq!$C25</f>
        <v>0</v>
      </c>
      <c r="AA59" s="71">
        <f t="shared" si="92"/>
        <v>0</v>
      </c>
      <c r="AB59" s="72">
        <f t="shared" si="93"/>
        <v>0</v>
      </c>
      <c r="AC59" s="71">
        <f>IFERROR(AA59*isospec!$D25,".")</f>
        <v>0</v>
      </c>
      <c r="AD59" s="73">
        <f>IFERROR(AB59*isospec!$E25,".")</f>
        <v>0</v>
      </c>
      <c r="AE59" s="74">
        <f t="shared" si="94"/>
        <v>0</v>
      </c>
      <c r="AF59" s="70">
        <f>AF$48*Aeq_Feq!$C25</f>
        <v>0</v>
      </c>
      <c r="AG59" s="71">
        <f t="shared" si="95"/>
        <v>0</v>
      </c>
      <c r="AH59" s="72">
        <f t="shared" si="96"/>
        <v>0</v>
      </c>
      <c r="AI59" s="71">
        <f>AG59*isospec!$D25</f>
        <v>0</v>
      </c>
      <c r="AJ59" s="73">
        <f>AH59*isospec!$E25</f>
        <v>0</v>
      </c>
      <c r="AK59" s="74">
        <f t="shared" si="97"/>
        <v>0</v>
      </c>
    </row>
    <row r="60" spans="1:37" ht="15.75" thickBot="1" x14ac:dyDescent="0.3">
      <c r="A60" s="23" t="str">
        <f>isospec!A26</f>
        <v>Rn-222~Tl-210</v>
      </c>
      <c r="B60" s="79">
        <f>B$48*Aeq_Feq!$B26</f>
        <v>0.85000000000000009</v>
      </c>
      <c r="C60" s="80">
        <f t="shared" si="80"/>
        <v>5263.4615384615372</v>
      </c>
      <c r="D60" s="81">
        <f t="shared" si="81"/>
        <v>0.81506849315068508</v>
      </c>
      <c r="E60" s="80">
        <f>C60*isospec!$D26</f>
        <v>0</v>
      </c>
      <c r="F60" s="82">
        <f>D60*isospec!$E26</f>
        <v>1.2562432116164387E-2</v>
      </c>
      <c r="G60" s="83">
        <f t="shared" si="82"/>
        <v>1.2562432116164387E-2</v>
      </c>
      <c r="H60" s="79">
        <f>H$48*Aeq_Feq!$B26</f>
        <v>3.6830820324767308E-3</v>
      </c>
      <c r="I60" s="80">
        <f t="shared" si="83"/>
        <v>22.806777201105902</v>
      </c>
      <c r="J60" s="81">
        <f t="shared" si="84"/>
        <v>3.5317224968954954E-3</v>
      </c>
      <c r="K60" s="80">
        <f>IFERROR(I60*isospec!$D26,".")</f>
        <v>0</v>
      </c>
      <c r="L60" s="82">
        <f>IFERROR(J60*isospec!$E26,".")</f>
        <v>5.4433491777945506E-5</v>
      </c>
      <c r="M60" s="83">
        <f t="shared" si="85"/>
        <v>5.4433491777945506E-5</v>
      </c>
      <c r="N60" s="79">
        <f>N$48*Aeq_Feq!$B26</f>
        <v>2.55E-5</v>
      </c>
      <c r="O60" s="80">
        <f t="shared" si="86"/>
        <v>0.15790384615384612</v>
      </c>
      <c r="P60" s="81">
        <f t="shared" si="87"/>
        <v>2.4452054794520547E-5</v>
      </c>
      <c r="Q60" s="80">
        <f>O60*isospec!$D26</f>
        <v>0</v>
      </c>
      <c r="R60" s="82">
        <f>P60*isospec!$E26</f>
        <v>3.7687296348493151E-7</v>
      </c>
      <c r="S60" s="83">
        <f t="shared" si="88"/>
        <v>3.7687296348493151E-7</v>
      </c>
      <c r="T60" s="79">
        <f>T$48*Aeq_Feq!$C26</f>
        <v>0.55500000000000005</v>
      </c>
      <c r="U60" s="80">
        <f t="shared" si="89"/>
        <v>2775</v>
      </c>
      <c r="V60" s="81">
        <f t="shared" si="90"/>
        <v>0.12671232876712329</v>
      </c>
      <c r="W60" s="80">
        <f>U60*isospec!$D26</f>
        <v>0</v>
      </c>
      <c r="X60" s="82">
        <f>V60*isospec!$E26</f>
        <v>1.9529831441095892E-3</v>
      </c>
      <c r="Y60" s="83">
        <f t="shared" si="91"/>
        <v>1.9529831441095892E-3</v>
      </c>
      <c r="Z60" s="79">
        <f>Z$48*Aeq_Feq!$C26</f>
        <v>2.4048359153230419E-3</v>
      </c>
      <c r="AA60" s="80">
        <f t="shared" si="92"/>
        <v>12.024179576615209</v>
      </c>
      <c r="AB60" s="81">
        <f t="shared" si="93"/>
        <v>5.4904929573585434E-4</v>
      </c>
      <c r="AC60" s="80">
        <f>IFERROR(AA60*isospec!$D26,".")</f>
        <v>0</v>
      </c>
      <c r="AD60" s="82">
        <f>IFERROR(AB60*isospec!$E26,".")</f>
        <v>8.4623495621175786E-6</v>
      </c>
      <c r="AE60" s="83">
        <f t="shared" si="94"/>
        <v>8.4623495621175786E-6</v>
      </c>
      <c r="AF60" s="79">
        <f>AF$48*Aeq_Feq!$C26</f>
        <v>1.6649999999999998E-5</v>
      </c>
      <c r="AG60" s="80">
        <f t="shared" si="95"/>
        <v>8.3249999999999991E-2</v>
      </c>
      <c r="AH60" s="81">
        <f t="shared" si="96"/>
        <v>3.8013698630136984E-6</v>
      </c>
      <c r="AI60" s="80">
        <f>AG60*isospec!$D26</f>
        <v>0</v>
      </c>
      <c r="AJ60" s="82">
        <f>AH60*isospec!$E26</f>
        <v>5.8589494323287669E-8</v>
      </c>
      <c r="AK60" s="83">
        <f t="shared" si="97"/>
        <v>5.8589494323287669E-8</v>
      </c>
    </row>
    <row r="61" spans="1:37" x14ac:dyDescent="0.25">
      <c r="D61" s="56"/>
      <c r="E61" s="56"/>
    </row>
    <row r="62" spans="1:37" x14ac:dyDescent="0.25">
      <c r="D62" s="56"/>
      <c r="E62" s="56"/>
      <c r="K62" s="56"/>
    </row>
    <row r="63" spans="1:37" x14ac:dyDescent="0.25">
      <c r="D63" s="56"/>
      <c r="E63" s="56"/>
    </row>
  </sheetData>
  <sheetProtection algorithmName="SHA-512" hashValue="J73yL04wOgS3n3cngTT7+JeixL0qZWPiw+PYeI/LRHedVZMU5oI80joVBgxpMik8IkHsCdJa7JG1/iutbzXhCQ==" saltValue="g8VIWT50tV8SgjALFpCJfA==" spinCount="100000" sheet="1" objects="1" scenarios="1"/>
  <mergeCells count="24">
    <mergeCell ref="U31:V31"/>
    <mergeCell ref="W31:Y31"/>
    <mergeCell ref="AI31:AK31"/>
    <mergeCell ref="B30:G30"/>
    <mergeCell ref="K31:M31"/>
    <mergeCell ref="N31:N32"/>
    <mergeCell ref="O31:P31"/>
    <mergeCell ref="Q31:S31"/>
    <mergeCell ref="T31:T32"/>
    <mergeCell ref="B31:B32"/>
    <mergeCell ref="C31:D31"/>
    <mergeCell ref="E31:G31"/>
    <mergeCell ref="H31:H32"/>
    <mergeCell ref="I31:J31"/>
    <mergeCell ref="H30:M30"/>
    <mergeCell ref="N30:S30"/>
    <mergeCell ref="T30:Y30"/>
    <mergeCell ref="Z30:AE30"/>
    <mergeCell ref="AF30:AK30"/>
    <mergeCell ref="Z31:Z32"/>
    <mergeCell ref="AA31:AB31"/>
    <mergeCell ref="AC31:AE31"/>
    <mergeCell ref="AF31:AF32"/>
    <mergeCell ref="AG31:AH31"/>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B70A-1D6D-444A-94DB-3449046AB231}">
  <dimension ref="A1:AK63"/>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 defaultRowHeight="15" x14ac:dyDescent="0.25"/>
  <cols>
    <col min="1" max="1" width="17.7109375" style="40" bestFit="1" customWidth="1"/>
    <col min="2" max="2" width="10.85546875" style="40" bestFit="1" customWidth="1"/>
    <col min="3" max="3" width="9" style="40" bestFit="1" customWidth="1"/>
    <col min="4" max="4" width="8.85546875" style="40" bestFit="1" customWidth="1"/>
    <col min="5" max="5" width="11.140625" style="40" bestFit="1" customWidth="1"/>
    <col min="6" max="6" width="9.28515625" style="40" bestFit="1" customWidth="1"/>
    <col min="7" max="7" width="9.140625" style="40" bestFit="1" customWidth="1"/>
    <col min="8" max="8" width="10.140625" style="40" bestFit="1" customWidth="1"/>
    <col min="9" max="9" width="10.42578125" style="40" bestFit="1" customWidth="1"/>
    <col min="10" max="10" width="9.85546875" style="40" bestFit="1" customWidth="1"/>
    <col min="11" max="11" width="8.85546875" style="40" bestFit="1" customWidth="1"/>
    <col min="12" max="13" width="9.140625" style="40" bestFit="1" customWidth="1"/>
    <col min="14" max="16" width="8.5703125" style="40" bestFit="1" customWidth="1"/>
    <col min="17" max="17" width="8.85546875" style="40" bestFit="1" customWidth="1"/>
    <col min="18" max="19" width="9.140625" style="40" bestFit="1" customWidth="1"/>
    <col min="20" max="20" width="11.85546875" style="40" bestFit="1" customWidth="1"/>
    <col min="21" max="21" width="10" style="40" bestFit="1" customWidth="1"/>
    <col min="22" max="22" width="8.85546875" style="40" bestFit="1" customWidth="1"/>
    <col min="23" max="23" width="12.140625" style="40" bestFit="1" customWidth="1"/>
    <col min="24" max="24" width="10.285156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29" width="8.85546875" style="40" bestFit="1" customWidth="1"/>
    <col min="30" max="31" width="9.140625" style="40" bestFit="1" customWidth="1"/>
    <col min="32" max="34" width="8.5703125" style="40" bestFit="1" customWidth="1"/>
    <col min="35" max="35" width="8.85546875" style="40" bestFit="1" customWidth="1"/>
    <col min="36" max="37" width="9.140625" style="40" bestFit="1" customWidth="1"/>
    <col min="38" max="16384" width="9" style="40"/>
  </cols>
  <sheetData>
    <row r="1" spans="1:28" x14ac:dyDescent="0.25">
      <c r="A1" s="57" t="s">
        <v>158</v>
      </c>
      <c r="B1" s="58" t="s">
        <v>136</v>
      </c>
      <c r="C1" s="58" t="s">
        <v>137</v>
      </c>
      <c r="D1" s="58" t="s">
        <v>135</v>
      </c>
      <c r="E1" s="58" t="s">
        <v>149</v>
      </c>
      <c r="F1" s="58" t="s">
        <v>150</v>
      </c>
      <c r="G1" s="58" t="s">
        <v>25</v>
      </c>
      <c r="H1" s="58" t="s">
        <v>22</v>
      </c>
      <c r="I1" s="58" t="s">
        <v>23</v>
      </c>
      <c r="J1" s="58" t="s">
        <v>24</v>
      </c>
      <c r="T1" s="61" t="s">
        <v>188</v>
      </c>
      <c r="U1" s="61" t="s">
        <v>189</v>
      </c>
      <c r="V1" s="61" t="s">
        <v>138</v>
      </c>
      <c r="W1" s="61" t="s">
        <v>147</v>
      </c>
      <c r="X1" s="61" t="s">
        <v>148</v>
      </c>
      <c r="Y1" s="61" t="s">
        <v>139</v>
      </c>
      <c r="Z1" s="61" t="s">
        <v>140</v>
      </c>
      <c r="AA1" s="61" t="s">
        <v>141</v>
      </c>
      <c r="AB1" s="61" t="s">
        <v>142</v>
      </c>
    </row>
    <row r="2" spans="1:28" x14ac:dyDescent="0.25">
      <c r="A2" s="57" t="str">
        <f>s_isospec!A2</f>
        <v>Rn-219</v>
      </c>
      <c r="B2" s="59">
        <f>1/(SUM((1/B3),(1/B4),(1/B5),(1/B6),(1/B7),(1/B8)))</f>
        <v>5155.9259836308029</v>
      </c>
      <c r="C2" s="59">
        <f>1/(SUM((1/C3),(1/C4),(1/C5),(1/C6),(1/C7),(1/C8)))</f>
        <v>5.1559259836308042</v>
      </c>
      <c r="D2" s="59">
        <f>1/(1/D3)</f>
        <v>2.4484404178672553E-4</v>
      </c>
      <c r="E2" s="59">
        <f>B2/s_AFss</f>
        <v>103118.51967261605</v>
      </c>
      <c r="F2" s="59">
        <f>(B2/s_AFss)/1000</f>
        <v>103.11851967261605</v>
      </c>
      <c r="G2" s="59">
        <f>IFERROR(B2/(s_AFgw*1000*s_isospec!M2),0)</f>
        <v>709.78034197084924</v>
      </c>
      <c r="H2" s="59">
        <f>1/(1/H5)</f>
        <v>5296.9525098301783</v>
      </c>
      <c r="I2" s="59">
        <f>1/(SUM((1/I3),(1/I4),(1/I5),(1/I6),(1/I7),(1/I8)))</f>
        <v>193656.44049745324</v>
      </c>
      <c r="J2" s="59">
        <f>1/(SUM((1/J3),(1/J4),(1/J5),(1/J6),(1/J7),(1/J8)))</f>
        <v>5155.9259836308029</v>
      </c>
      <c r="T2" s="59">
        <f>1/(SUM((1/T3),(1/T4),(1/T5),(1/T6),(1/T7),(1/T8)))</f>
        <v>1532.7168359399104</v>
      </c>
      <c r="U2" s="59">
        <f>1/(SUM((1/U3),(1/U4),(1/U5),(1/U6),(1/U7),(1/U8)))</f>
        <v>1.5327168359399106</v>
      </c>
      <c r="V2" s="59">
        <f>1/(1/V3)</f>
        <v>2.4484404178672553E-4</v>
      </c>
      <c r="W2" s="59">
        <f>T2/s_AFss</f>
        <v>30654.336718798208</v>
      </c>
      <c r="X2" s="59">
        <f>(T2/s_AFss)/1000</f>
        <v>30.654336718798209</v>
      </c>
      <c r="Y2" s="59">
        <f>IFERROR(T2/(s_AFgw*1000*s_isospec!M2),0)</f>
        <v>210.99842849020379</v>
      </c>
      <c r="Z2" s="59">
        <f>1/(1/Z5)</f>
        <v>1544.9444820338022</v>
      </c>
      <c r="AA2" s="59">
        <f>1/(SUM((1/AA3),(1/AA4),(1/AA5),(1/AA6),(1/AA7),(1/AA8)))</f>
        <v>193656.44049745324</v>
      </c>
      <c r="AB2" s="59">
        <f>1/(SUM((1/AB3),(1/AB4),(1/AB5),(1/AB6),(1/AB7),(1/AB8)))</f>
        <v>1532.7168359399104</v>
      </c>
    </row>
    <row r="3" spans="1:28" x14ac:dyDescent="0.25">
      <c r="A3" s="57" t="str">
        <f>s_isospec!A2</f>
        <v>Rn-219</v>
      </c>
      <c r="B3" s="60">
        <f t="shared" ref="B3:B8" si="0">J3</f>
        <v>266419.35009491479</v>
      </c>
      <c r="C3" s="60">
        <f t="shared" ref="C3:C8" si="1">MIN(I3:J3)/1000</f>
        <v>266.41935009491476</v>
      </c>
      <c r="D3" s="60">
        <f>(C3/1000)*s_Aeq_Feq!E2</f>
        <v>2.4484404178672553E-4</v>
      </c>
      <c r="E3" s="60"/>
      <c r="F3" s="60"/>
      <c r="G3" s="60"/>
      <c r="H3" s="60">
        <f>IFERROR((s_DL)/(s_isospec!D2*s_IFAres_adj_d)/s_Aeq_Feq!B2,0)</f>
        <v>0</v>
      </c>
      <c r="I3" s="60">
        <f>IFERROR((s_DL)/(s_isospec!E2*s_EFres*(1/365)*1*s_ETres*(1/24)*s_GSFa)/s_Aeq_Feq!B2,0)</f>
        <v>266419.35009491479</v>
      </c>
      <c r="J3" s="60">
        <f t="shared" ref="J3:J8" si="2">IFERROR(IF(AND(H3&lt;&gt;0,I3&lt;&gt;0),1/((1/H3)+(1/I3)),IF(AND(H3&lt;&gt;0,I3=0),1/(1/H3),IF(AND(H3=0,I3&lt;&gt;0),1/(1/I3),IF(AND(H3=0,I3=0),0)))),0)</f>
        <v>266419.35009491479</v>
      </c>
      <c r="T3" s="60">
        <f t="shared" ref="T3:T8" si="3">AB3</f>
        <v>266419.35009491479</v>
      </c>
      <c r="U3" s="60">
        <f t="shared" ref="U3:U8" si="4">MIN(AA3:AB3)/1000</f>
        <v>266.41935009491476</v>
      </c>
      <c r="V3" s="60">
        <f>(U3/1000)*s_Aeq_Feq!G2</f>
        <v>2.4484404178672553E-4</v>
      </c>
      <c r="W3" s="60"/>
      <c r="X3" s="60"/>
      <c r="Y3" s="60"/>
      <c r="Z3" s="60">
        <f>IFERROR((s_DL)/(s_isospec!D2*s_EFw*1*s_ETw*(1/24)*s_IRAw)/s_Aeq_Feq!C2,0)</f>
        <v>0</v>
      </c>
      <c r="AA3" s="60">
        <f>IFERROR((s_DL)/(s_isospec!E2*s_EFw*(1/365)*1*s_ETw*(1/24)*s_GSFa)/s_Aeq_Feq!C2,0)</f>
        <v>266419.35009491479</v>
      </c>
      <c r="AB3" s="60">
        <f t="shared" ref="AB3:AB8" si="5">IFERROR(IF(AND(Z3&lt;&gt;0,AA3&lt;&gt;0),1/((1/Z3)+(1/AA3)),IF(AND(Z3&lt;&gt;0,AA3=0),1/(1/Z3),IF(AND(Z3=0,AA3&lt;&gt;0),1/(1/AA3),IF(AND(Z3=0,AA3=0),0)))),0)</f>
        <v>266419.35009491479</v>
      </c>
    </row>
    <row r="4" spans="1:28" x14ac:dyDescent="0.25">
      <c r="A4" s="57" t="str">
        <f>s_isospec!A3</f>
        <v>Rn-219~Bi-211</v>
      </c>
      <c r="B4" s="60">
        <f t="shared" si="0"/>
        <v>2214279.570681334</v>
      </c>
      <c r="C4" s="60">
        <f t="shared" si="1"/>
        <v>2214.279570681334</v>
      </c>
      <c r="D4" s="60">
        <f>(C4/1000)*s_Aeq_Feq!E3</f>
        <v>0</v>
      </c>
      <c r="E4" s="60"/>
      <c r="F4" s="60"/>
      <c r="G4" s="60"/>
      <c r="H4" s="60">
        <f>IFERROR((s_DL)/(s_isospec!D3*s_IFAres_adj_d)/s_Aeq_Feq!B3,0)</f>
        <v>0</v>
      </c>
      <c r="I4" s="60">
        <f>IFERROR((s_DL)/(s_isospec!E3*s_EFres*(1/365)*1*s_ETres*(1/24)*s_GSFa)/s_Aeq_Feq!B3,0)</f>
        <v>2214279.570681334</v>
      </c>
      <c r="J4" s="60">
        <f t="shared" si="2"/>
        <v>2214279.570681334</v>
      </c>
      <c r="T4" s="60">
        <f t="shared" si="3"/>
        <v>2214279.570681334</v>
      </c>
      <c r="U4" s="60">
        <f t="shared" si="4"/>
        <v>2214.279570681334</v>
      </c>
      <c r="V4" s="60">
        <f>(U4/1000)*s_Aeq_Feq!G3</f>
        <v>0</v>
      </c>
      <c r="W4" s="60"/>
      <c r="X4" s="60"/>
      <c r="Y4" s="60"/>
      <c r="Z4" s="60">
        <f>IFERROR((s_DL)/(s_isospec!D3*s_EFw*1*s_ETw*(1/24)*s_IRAw)/s_Aeq_Feq!C3,0)</f>
        <v>0</v>
      </c>
      <c r="AA4" s="60">
        <f>IFERROR((s_DL)/(s_isospec!E3*s_EFw*(1/365)*1*s_ETw*(1/24)*s_GSFa)/s_Aeq_Feq!C3,0)</f>
        <v>2214279.570681334</v>
      </c>
      <c r="AB4" s="60">
        <f t="shared" si="5"/>
        <v>2214279.570681334</v>
      </c>
    </row>
    <row r="5" spans="1:28" x14ac:dyDescent="0.25">
      <c r="A5" s="57" t="str">
        <f>s_isospec!A4</f>
        <v>Rn-219~Pb-211</v>
      </c>
      <c r="B5" s="60">
        <f t="shared" si="0"/>
        <v>5272.2836670377792</v>
      </c>
      <c r="C5" s="60">
        <f t="shared" si="1"/>
        <v>5.2722836670377795</v>
      </c>
      <c r="D5" s="60">
        <f>(C5/1000)*s_Aeq_Feq!E4</f>
        <v>0</v>
      </c>
      <c r="E5" s="60"/>
      <c r="F5" s="60"/>
      <c r="G5" s="60"/>
      <c r="H5" s="60">
        <f>IFERROR((s_DL)/(s_isospec!D4*s_IFAres_adj_d)/s_Aeq_Feq!B4,0)</f>
        <v>5296.9525098301783</v>
      </c>
      <c r="I5" s="60">
        <f>IFERROR((s_DL)/(s_isospec!E4*s_EFres*(1/365)*1*s_ETres*(1/24)*s_GSFa)/s_Aeq_Feq!B4,0)</f>
        <v>1132077.2700070408</v>
      </c>
      <c r="J5" s="60">
        <f t="shared" si="2"/>
        <v>5272.2836670377792</v>
      </c>
      <c r="T5" s="60">
        <f t="shared" si="3"/>
        <v>1542.8389715541559</v>
      </c>
      <c r="U5" s="60">
        <f t="shared" si="4"/>
        <v>1.5428389715541559</v>
      </c>
      <c r="V5" s="60">
        <f>(U5/1000)*s_Aeq_Feq!G4</f>
        <v>0</v>
      </c>
      <c r="W5" s="60"/>
      <c r="X5" s="60"/>
      <c r="Y5" s="60"/>
      <c r="Z5" s="60">
        <f>IFERROR((s_DL)/(s_isospec!D4*s_EFw*1*s_ETw*(1/24)*s_IRAw)/s_Aeq_Feq!C4,0)</f>
        <v>1544.9444820338022</v>
      </c>
      <c r="AA5" s="60">
        <f>IFERROR((s_DL)/(s_isospec!E4*s_EFw*(1/365)*1*s_ETw*(1/24)*s_GSFa)/s_Aeq_Feq!C4,0)</f>
        <v>1132077.2700070408</v>
      </c>
      <c r="AB5" s="60">
        <f t="shared" si="5"/>
        <v>1542.8389715541559</v>
      </c>
    </row>
    <row r="6" spans="1:28" x14ac:dyDescent="0.25">
      <c r="A6" s="57" t="str">
        <f>s_isospec!A5</f>
        <v>Rn-219~Po-211</v>
      </c>
      <c r="B6" s="60">
        <f t="shared" si="0"/>
        <v>4571270350.1540337</v>
      </c>
      <c r="C6" s="60">
        <f t="shared" si="1"/>
        <v>4571270.3501540339</v>
      </c>
      <c r="D6" s="60">
        <f>(C6/1000)*s_Aeq_Feq!E5</f>
        <v>0</v>
      </c>
      <c r="E6" s="60"/>
      <c r="F6" s="60"/>
      <c r="G6" s="60"/>
      <c r="H6" s="60">
        <f>IFERROR((s_DL)/(s_isospec!D5*s_IFAres_adj_d)/s_Aeq_Feq!B5,0)</f>
        <v>0</v>
      </c>
      <c r="I6" s="60">
        <f>IFERROR((s_DL)/(s_isospec!E5*s_EFres*(1/365)*1*s_ETres*(1/24)*s_GSFa)/s_Aeq_Feq!B5,0)</f>
        <v>4571270350.1540337</v>
      </c>
      <c r="J6" s="60">
        <f t="shared" si="2"/>
        <v>4571270350.1540337</v>
      </c>
      <c r="T6" s="60">
        <f t="shared" si="3"/>
        <v>4571270350.1540337</v>
      </c>
      <c r="U6" s="60">
        <f t="shared" si="4"/>
        <v>4571270.3501540339</v>
      </c>
      <c r="V6" s="60">
        <f>(U6/1000)*s_Aeq_Feq!G5</f>
        <v>0</v>
      </c>
      <c r="W6" s="60"/>
      <c r="X6" s="60"/>
      <c r="Y6" s="60"/>
      <c r="Z6" s="60">
        <f>IFERROR((s_DL)/(s_isospec!D5*s_EFw*1*s_ETw*(1/24)*s_IRAw)/s_Aeq_Feq!C5,0)</f>
        <v>0</v>
      </c>
      <c r="AA6" s="60">
        <f>IFERROR((s_DL)/(s_isospec!E5*s_EFw*(1/365)*1*s_ETw*(1/24)*s_GSFa)/s_Aeq_Feq!C5,0)</f>
        <v>4571270350.1540337</v>
      </c>
      <c r="AB6" s="60">
        <f t="shared" si="5"/>
        <v>4571270350.1540337</v>
      </c>
    </row>
    <row r="7" spans="1:28" x14ac:dyDescent="0.25">
      <c r="A7" s="57" t="str">
        <f>s_isospec!A6</f>
        <v>Rn-219~Po-215</v>
      </c>
      <c r="B7" s="60">
        <f t="shared" si="0"/>
        <v>87729704.980664611</v>
      </c>
      <c r="C7" s="60">
        <f t="shared" si="1"/>
        <v>87729.70498066461</v>
      </c>
      <c r="D7" s="60">
        <f>(C7/1000)*s_Aeq_Feq!E6</f>
        <v>0</v>
      </c>
      <c r="E7" s="60"/>
      <c r="F7" s="60"/>
      <c r="G7" s="60"/>
      <c r="H7" s="60">
        <f>IFERROR((s_DL)/(s_isospec!D6*s_IFAres_adj_d)/s_Aeq_Feq!B6,0)</f>
        <v>0</v>
      </c>
      <c r="I7" s="60">
        <f>IFERROR((s_DL)/(s_isospec!E6*s_EFres*(1/365)*1*s_ETres*(1/24)*s_GSFa)/s_Aeq_Feq!B6,0)</f>
        <v>87729704.980664611</v>
      </c>
      <c r="J7" s="60">
        <f t="shared" si="2"/>
        <v>87729704.980664611</v>
      </c>
      <c r="T7" s="60">
        <f t="shared" si="3"/>
        <v>87729704.980664611</v>
      </c>
      <c r="U7" s="60">
        <f t="shared" si="4"/>
        <v>87729.70498066461</v>
      </c>
      <c r="V7" s="60">
        <f>(U7/1000)*s_Aeq_Feq!G6</f>
        <v>0</v>
      </c>
      <c r="W7" s="60"/>
      <c r="X7" s="60"/>
      <c r="Y7" s="60"/>
      <c r="Z7" s="60">
        <f>IFERROR((s_DL)/(s_isospec!D6*s_EFw*1*s_ETw*(1/24)*s_IRAw)/s_Aeq_Feq!C6,0)</f>
        <v>0</v>
      </c>
      <c r="AA7" s="60">
        <f>IFERROR((s_DL)/(s_isospec!E6*s_EFw*(1/365)*1*s_ETw*(1/24)*s_GSFa)/s_Aeq_Feq!C6,0)</f>
        <v>87729704.980664611</v>
      </c>
      <c r="AB7" s="60">
        <f t="shared" si="5"/>
        <v>87729704.980664611</v>
      </c>
    </row>
    <row r="8" spans="1:28" x14ac:dyDescent="0.25">
      <c r="A8" s="57" t="str">
        <f>s_isospec!A7</f>
        <v>Rn-219~Tl-207</v>
      </c>
      <c r="B8" s="60">
        <f t="shared" si="0"/>
        <v>15688922.284833835</v>
      </c>
      <c r="C8" s="60">
        <f t="shared" si="1"/>
        <v>15688.922284833836</v>
      </c>
      <c r="D8" s="60">
        <f>(C8/1000)*s_Aeq_Feq!E7</f>
        <v>0</v>
      </c>
      <c r="E8" s="60"/>
      <c r="F8" s="60"/>
      <c r="G8" s="60"/>
      <c r="H8" s="60">
        <f>IFERROR((s_DL)/(s_isospec!D7*s_IFAres_adj_d)/s_Aeq_Feq!B7,0)</f>
        <v>0</v>
      </c>
      <c r="I8" s="60">
        <f>IFERROR((s_DL)/(s_isospec!E7*s_EFres*(1/365)*1*s_ETres*(1/24)*s_GSFa)/s_Aeq_Feq!B7,0)</f>
        <v>15688922.284833835</v>
      </c>
      <c r="J8" s="60">
        <f t="shared" si="2"/>
        <v>15688922.284833835</v>
      </c>
      <c r="T8" s="60">
        <f t="shared" si="3"/>
        <v>15688922.284833835</v>
      </c>
      <c r="U8" s="60">
        <f t="shared" si="4"/>
        <v>15688.922284833836</v>
      </c>
      <c r="V8" s="60">
        <f>(U8/1000)*s_Aeq_Feq!G7</f>
        <v>0</v>
      </c>
      <c r="W8" s="60"/>
      <c r="X8" s="60"/>
      <c r="Y8" s="60"/>
      <c r="Z8" s="60">
        <f>IFERROR((s_DL)/(s_isospec!D7*s_EFw*1*s_ETw*(1/24)*s_IRAw)/s_Aeq_Feq!C7,0)</f>
        <v>0</v>
      </c>
      <c r="AA8" s="60">
        <f>IFERROR((s_DL)/(s_isospec!E7*s_EFw*(1/365)*1*s_ETw*(1/24)*s_GSFa)/s_Aeq_Feq!C7,0)</f>
        <v>15688922.284833835</v>
      </c>
      <c r="AB8" s="60">
        <f t="shared" si="5"/>
        <v>15688922.284833835</v>
      </c>
    </row>
    <row r="9" spans="1:28" x14ac:dyDescent="0.25">
      <c r="A9" s="57" t="str">
        <f>s_isospec!A8</f>
        <v>Rn-220</v>
      </c>
      <c r="B9" s="59">
        <f>1/(SUM((1/B10),(1/B11),(1/B12),(1/B14),(1/B15)))</f>
        <v>8385.4134890079295</v>
      </c>
      <c r="C9" s="59">
        <f>1/(SUM((1/C10),(1/C11),(1/C12),(1/C14),(1/C15)))</f>
        <v>8.3854134890079308</v>
      </c>
      <c r="D9" s="59">
        <f>1/(1/D10)</f>
        <v>1.2739857950886668E-5</v>
      </c>
      <c r="E9" s="59">
        <f>B9/s_AFss</f>
        <v>167708.26978015859</v>
      </c>
      <c r="F9" s="59">
        <f>(B9/s_AFss)/1000</f>
        <v>167.70826978015859</v>
      </c>
      <c r="G9" s="59">
        <f>IFERROR(B9/(s_AFgw*1000*s_isospec!M8),0)</f>
        <v>1154.361345118411</v>
      </c>
      <c r="H9" s="59">
        <f>1/(SUM((1/H10),(1/H11),(1/H12)))</f>
        <v>8404.3320654902327</v>
      </c>
      <c r="I9" s="59">
        <f>1/(SUM((1/I10),(1/I11),(1/I12),(1/I14),(1/I15)))</f>
        <v>3725111.1115036523</v>
      </c>
      <c r="J9" s="59">
        <f>1/(SUM((1/J10),(1/J11),(1/J12),(1/J14),(1/J15)))</f>
        <v>8385.4134890079295</v>
      </c>
      <c r="T9" s="59">
        <f>1/(SUM((1/T10),(1/T11),(1/T12),(1/T14),(1/T15)))</f>
        <v>2449.6515560446187</v>
      </c>
      <c r="U9" s="59">
        <f>1/(SUM((1/U10),(1/U11),(1/U12),(1/U14),(1/U15)))</f>
        <v>2.4496515560446186</v>
      </c>
      <c r="V9" s="59">
        <f>1/(1/V10)</f>
        <v>3.7223982100130246E-6</v>
      </c>
      <c r="W9" s="59">
        <f>T9/s_AFss</f>
        <v>48993.031120892374</v>
      </c>
      <c r="X9" s="59">
        <f>(T9/s_AFss)/1000</f>
        <v>48.993031120892375</v>
      </c>
      <c r="Y9" s="59">
        <f>IFERROR(T9/(s_AFgw*1000*s_isospec!M8),0)</f>
        <v>337.22643123250765</v>
      </c>
      <c r="Z9" s="59">
        <f>1/(SUM((1/Z10),(1/Z11),(1/Z12)))</f>
        <v>2451.2635191013178</v>
      </c>
      <c r="AA9" s="59">
        <f>1/(SUM((1/AA10),(1/AA11),(1/AA12),(1/AA14),(1/AA15)))</f>
        <v>3725111.1115036523</v>
      </c>
      <c r="AB9" s="59">
        <f>1/(SUM((1/AB10),(1/AB11),(1/AB12),(1/AB14),(1/AB15)))</f>
        <v>2449.6515560446187</v>
      </c>
    </row>
    <row r="10" spans="1:28" x14ac:dyDescent="0.25">
      <c r="A10" s="57" t="str">
        <f>s_isospec!A8</f>
        <v>Rn-220</v>
      </c>
      <c r="B10" s="60">
        <f t="shared" ref="B10:B15" si="6">J10</f>
        <v>60813.177437486804</v>
      </c>
      <c r="C10" s="60">
        <f t="shared" ref="C10:C15" si="7">MIN(I10:J10)/1000</f>
        <v>60.8131774374868</v>
      </c>
      <c r="D10" s="60">
        <f>(C10/1000)*s_Aeq_Feq!E8</f>
        <v>1.2739857950886668E-5</v>
      </c>
      <c r="E10" s="60"/>
      <c r="F10" s="60"/>
      <c r="G10" s="60"/>
      <c r="H10" s="60">
        <f>IFERROR((s_DL)/(s_isospec!D8*s_IFAres_adj_d)/s_Aeq_Feq!B8,0)</f>
        <v>60965.928936589087</v>
      </c>
      <c r="I10" s="60">
        <f>IFERROR((s_DL)/(s_isospec!E8*s_EFres*(1/365)*1*s_ETres*(1/24)*s_GSFa)/s_Aeq_Feq!B8,0)</f>
        <v>24271656.09405629</v>
      </c>
      <c r="J10" s="60">
        <f t="shared" ref="J10:J15" si="8">IFERROR(IF(AND(H10&lt;&gt;0,I10&lt;&gt;0),1/((1/H10)+(1/I10)),IF(AND(H10&lt;&gt;0,I10=0),1/(1/H10),IF(AND(H10=0,I10&lt;&gt;0),1/(1/I10),IF(AND(H10=0,I10=0),0)))),0)</f>
        <v>60813.177437486804</v>
      </c>
      <c r="T10" s="60">
        <f t="shared" ref="T10:T15" si="9">AB10</f>
        <v>17768.711685105591</v>
      </c>
      <c r="U10" s="60">
        <f t="shared" ref="U10:U15" si="10">MIN(AA10:AB10)/1000</f>
        <v>17.76871168510559</v>
      </c>
      <c r="V10" s="60">
        <f>(U10/1000)*s_Aeq_Feq!G8</f>
        <v>3.7223982100130242E-6</v>
      </c>
      <c r="W10" s="60"/>
      <c r="X10" s="60"/>
      <c r="Y10" s="60"/>
      <c r="Z10" s="60">
        <f>IFERROR((s_DL)/(s_isospec!D8*s_EFw*1*s_ETw*(1/24)*s_IRAw)/s_Aeq_Feq!C8,0)</f>
        <v>17781.729273171819</v>
      </c>
      <c r="AA10" s="60">
        <f>IFERROR((s_DL)/(s_isospec!E8*s_EFw*(1/365)*1*s_ETw*(1/24)*s_GSFa)/s_Aeq_Feq!C8,0)</f>
        <v>24271656.09405629</v>
      </c>
      <c r="AB10" s="60">
        <f t="shared" ref="AB10:AB15" si="11">IFERROR(IF(AND(Z10&lt;&gt;0,AA10&lt;&gt;0),1/((1/Z10)+(1/AA10)),IF(AND(Z10&lt;&gt;0,AA10=0),1/(1/Z10),IF(AND(Z10=0,AA10&lt;&gt;0),1/(1/AA10),IF(AND(Z10=0,AA10=0),0)))),0)</f>
        <v>17768.711685105591</v>
      </c>
    </row>
    <row r="11" spans="1:28" x14ac:dyDescent="0.25">
      <c r="A11" s="57" t="str">
        <f>s_isospec!A9</f>
        <v>Rn-220~Bi-212</v>
      </c>
      <c r="B11" s="60">
        <f t="shared" si="6"/>
        <v>506991.38521151233</v>
      </c>
      <c r="C11" s="60">
        <f t="shared" si="7"/>
        <v>506.99138521151235</v>
      </c>
      <c r="D11" s="60">
        <f>(C11/1000)*s_Aeq_Feq!E9</f>
        <v>0</v>
      </c>
      <c r="E11" s="60"/>
      <c r="F11" s="60"/>
      <c r="G11" s="60"/>
      <c r="H11" s="60">
        <f>IFERROR((s_DL)/(s_isospec!D9*s_IFAres_adj_d)/s_Aeq_Feq!B9,0)</f>
        <v>510128.16970263782</v>
      </c>
      <c r="I11" s="60">
        <f>IFERROR((s_DL)/(s_isospec!E9*s_EFres*(1/365)*1*s_ETres*(1/24)*s_GSFa)/s_Aeq_Feq!B9,0)</f>
        <v>82450862.698619649</v>
      </c>
      <c r="J11" s="60">
        <f t="shared" si="8"/>
        <v>506991.38521151233</v>
      </c>
      <c r="T11" s="60">
        <f t="shared" si="9"/>
        <v>148519.37097676771</v>
      </c>
      <c r="U11" s="60">
        <f t="shared" si="10"/>
        <v>148.5193709767677</v>
      </c>
      <c r="V11" s="60">
        <f>(U11/1000)*s_Aeq_Feq!G9</f>
        <v>0</v>
      </c>
      <c r="W11" s="60"/>
      <c r="X11" s="60"/>
      <c r="Y11" s="60"/>
      <c r="Z11" s="60">
        <f>IFERROR((s_DL)/(s_isospec!D9*s_EFw*1*s_ETw*(1/24)*s_IRAw)/s_Aeq_Feq!C9,0)</f>
        <v>148787.38282993602</v>
      </c>
      <c r="AA11" s="60">
        <f>IFERROR((s_DL)/(s_isospec!E9*s_EFw*(1/365)*1*s_ETw*(1/24)*s_GSFa)/s_Aeq_Feq!C9,0)</f>
        <v>82450862.698619649</v>
      </c>
      <c r="AB11" s="60">
        <f t="shared" si="11"/>
        <v>148519.37097676771</v>
      </c>
    </row>
    <row r="12" spans="1:28" x14ac:dyDescent="0.25">
      <c r="A12" s="57" t="str">
        <f>s_isospec!A10</f>
        <v>Rn-220~Pb-212</v>
      </c>
      <c r="B12" s="60">
        <f t="shared" si="6"/>
        <v>9926.6495964374335</v>
      </c>
      <c r="C12" s="60">
        <f t="shared" si="7"/>
        <v>9.9266495964374339</v>
      </c>
      <c r="D12" s="60">
        <f>(C12/1000)*s_Aeq_Feq!E10</f>
        <v>0</v>
      </c>
      <c r="E12" s="60"/>
      <c r="F12" s="60"/>
      <c r="G12" s="60"/>
      <c r="H12" s="60">
        <f>IFERROR((s_DL)/(s_isospec!D10*s_IFAres_adj_d)/s_Aeq_Feq!B10,0)</f>
        <v>9938.0502321854638</v>
      </c>
      <c r="I12" s="60">
        <f>IFERROR((s_DL)/(s_isospec!E10*s_EFres*(1/365)*1*s_ETres*(1/24)*s_GSFa)/s_Aeq_Feq!B10,0)</f>
        <v>8653161.4996762443</v>
      </c>
      <c r="J12" s="60">
        <f t="shared" si="8"/>
        <v>9926.6495964374335</v>
      </c>
      <c r="T12" s="60">
        <f t="shared" si="9"/>
        <v>2897.6273499209024</v>
      </c>
      <c r="U12" s="60">
        <f t="shared" si="10"/>
        <v>2.8976273499209024</v>
      </c>
      <c r="V12" s="60">
        <f>(U12/1000)*s_Aeq_Feq!G10</f>
        <v>0</v>
      </c>
      <c r="W12" s="60"/>
      <c r="X12" s="60"/>
      <c r="Y12" s="60"/>
      <c r="Z12" s="60">
        <f>IFERROR((s_DL)/(s_isospec!D10*s_EFw*1*s_ETw*(1/24)*s_IRAw)/s_Aeq_Feq!C10,0)</f>
        <v>2898.5979843874265</v>
      </c>
      <c r="AA12" s="60">
        <f>IFERROR((s_DL)/(s_isospec!E10*s_EFw*(1/365)*1*s_ETw*(1/24)*s_GSFa)/s_Aeq_Feq!C10,0)</f>
        <v>8653161.4996762443</v>
      </c>
      <c r="AB12" s="60">
        <f t="shared" si="11"/>
        <v>2897.6273499209024</v>
      </c>
    </row>
    <row r="13" spans="1:28" x14ac:dyDescent="0.25">
      <c r="A13" s="57" t="str">
        <f>s_isospec!A11</f>
        <v>Rn-220~Po-212</v>
      </c>
      <c r="B13" s="60">
        <f t="shared" si="6"/>
        <v>0</v>
      </c>
      <c r="C13" s="60">
        <f t="shared" si="7"/>
        <v>0</v>
      </c>
      <c r="D13" s="60">
        <f>(C13/1000)*s_Aeq_Feq!E11</f>
        <v>0</v>
      </c>
      <c r="E13" s="60"/>
      <c r="F13" s="60"/>
      <c r="G13" s="60"/>
      <c r="H13" s="60">
        <f>IFERROR((s_DL)/(s_isospec!D11*s_IFAres_adj_d)/s_Aeq_Feq!B11,0)</f>
        <v>0</v>
      </c>
      <c r="I13" s="60">
        <f>IFERROR((s_DL)/(s_isospec!E11*s_EFres*(1/365)*1*s_ETres*(1/24)*s_GSFa)/s_Aeq_Feq!B11,0)</f>
        <v>0</v>
      </c>
      <c r="J13" s="60">
        <f t="shared" si="8"/>
        <v>0</v>
      </c>
      <c r="T13" s="60">
        <f t="shared" si="9"/>
        <v>0</v>
      </c>
      <c r="U13" s="60">
        <f t="shared" si="10"/>
        <v>0</v>
      </c>
      <c r="V13" s="60">
        <f>(U13/1000)*s_Aeq_Feq!G11</f>
        <v>0</v>
      </c>
      <c r="W13" s="60"/>
      <c r="X13" s="60"/>
      <c r="Y13" s="60"/>
      <c r="Z13" s="60">
        <f>IFERROR((s_DL)/(s_isospec!D11*s_EFw*1*s_ETw*(1/24)*s_IRAw)/s_Aeq_Feq!C11,0)</f>
        <v>0</v>
      </c>
      <c r="AA13" s="60">
        <f>IFERROR((s_DL)/(s_isospec!E11*s_EFw*(1/365)*1*s_ETw*(1/24)*s_GSFa)/s_Aeq_Feq!C11,0)</f>
        <v>0</v>
      </c>
      <c r="AB13" s="60">
        <f t="shared" si="11"/>
        <v>0</v>
      </c>
    </row>
    <row r="14" spans="1:28" x14ac:dyDescent="0.25">
      <c r="A14" s="57" t="str">
        <f>s_isospec!A12</f>
        <v>Rn-220~Po-216</v>
      </c>
      <c r="B14" s="60">
        <f t="shared" si="6"/>
        <v>974626011.00756216</v>
      </c>
      <c r="C14" s="60">
        <f t="shared" si="7"/>
        <v>974626.01100756216</v>
      </c>
      <c r="D14" s="60">
        <f>(C14/1000)*s_Aeq_Feq!E12</f>
        <v>0</v>
      </c>
      <c r="E14" s="60"/>
      <c r="F14" s="60"/>
      <c r="G14" s="60"/>
      <c r="H14" s="60">
        <f>IFERROR((s_DL)/(s_isospec!D12*s_IFAres_adj_d)/s_Aeq_Feq!B12,0)</f>
        <v>0</v>
      </c>
      <c r="I14" s="60">
        <f>IFERROR((s_DL)/(s_isospec!E12*s_EFres*(1/365)*1*s_ETres*(1/24)*s_GSFa)/s_Aeq_Feq!B12,0)</f>
        <v>974626011.00756216</v>
      </c>
      <c r="J14" s="60">
        <f t="shared" si="8"/>
        <v>974626011.00756216</v>
      </c>
      <c r="T14" s="60">
        <f t="shared" si="9"/>
        <v>974626011.00756216</v>
      </c>
      <c r="U14" s="60">
        <f t="shared" si="10"/>
        <v>974626.01100756216</v>
      </c>
      <c r="V14" s="60">
        <f>(U14/1000)*s_Aeq_Feq!G12</f>
        <v>0</v>
      </c>
      <c r="W14" s="60"/>
      <c r="X14" s="60"/>
      <c r="Y14" s="60"/>
      <c r="Z14" s="60">
        <f>IFERROR((s_DL)/(s_isospec!D12*s_EFw*1*s_ETw*(1/24)*s_IRAw)/s_Aeq_Feq!C12,0)</f>
        <v>0</v>
      </c>
      <c r="AA14" s="60">
        <f>IFERROR((s_DL)/(s_isospec!E12*s_EFw*(1/365)*1*s_ETw*(1/24)*s_GSFa)/s_Aeq_Feq!C12,0)</f>
        <v>974626011.00756216</v>
      </c>
      <c r="AB14" s="60">
        <f t="shared" si="11"/>
        <v>974626011.00756216</v>
      </c>
    </row>
    <row r="15" spans="1:28" x14ac:dyDescent="0.25">
      <c r="A15" s="57" t="str">
        <f>s_isospec!A13</f>
        <v>Rn-220~Tl-208</v>
      </c>
      <c r="B15" s="60">
        <f t="shared" si="6"/>
        <v>10149308.575044371</v>
      </c>
      <c r="C15" s="60">
        <f t="shared" si="7"/>
        <v>10149.308575044372</v>
      </c>
      <c r="D15" s="60">
        <f>(C15/1000)*s_Aeq_Feq!E13</f>
        <v>0</v>
      </c>
      <c r="E15" s="60"/>
      <c r="F15" s="60"/>
      <c r="G15" s="60"/>
      <c r="H15" s="60">
        <f>IFERROR((s_DL)/(s_isospec!D13*s_IFAres_adj_d)/s_Aeq_Feq!B13,0)</f>
        <v>0</v>
      </c>
      <c r="I15" s="60">
        <f>IFERROR((s_DL)/(s_isospec!E13*s_EFres*(1/365)*1*s_ETres*(1/24)*s_GSFa)/s_Aeq_Feq!B13,0)</f>
        <v>10149308.575044371</v>
      </c>
      <c r="J15" s="60">
        <f t="shared" si="8"/>
        <v>10149308.575044371</v>
      </c>
      <c r="T15" s="60">
        <f t="shared" si="9"/>
        <v>10149308.575044371</v>
      </c>
      <c r="U15" s="60">
        <f t="shared" si="10"/>
        <v>10149.308575044372</v>
      </c>
      <c r="V15" s="60">
        <f>(U15/1000)*s_Aeq_Feq!G13</f>
        <v>0</v>
      </c>
      <c r="W15" s="60"/>
      <c r="X15" s="60"/>
      <c r="Y15" s="60"/>
      <c r="Z15" s="60">
        <f>IFERROR((s_DL)/(s_isospec!D13*s_EFw*1*s_ETw*(1/24)*s_IRAw)/s_Aeq_Feq!C13,0)</f>
        <v>0</v>
      </c>
      <c r="AA15" s="60">
        <f>IFERROR((s_DL)/(s_isospec!E13*s_EFw*(1/365)*1*s_ETw*(1/24)*s_GSFa)/s_Aeq_Feq!C13,0)</f>
        <v>10149308.575044371</v>
      </c>
      <c r="AB15" s="60">
        <f t="shared" si="11"/>
        <v>10149308.575044371</v>
      </c>
    </row>
    <row r="16" spans="1:28" x14ac:dyDescent="0.25">
      <c r="A16" s="57" t="str">
        <f>s_isospec!A14</f>
        <v>Rn-222</v>
      </c>
      <c r="B16" s="59">
        <f>1/(SUM((1/B17),(1/B18),(1/B20),(1/B23),(1/B25),(1/B26),(1/B27),(1/B29)))</f>
        <v>2223.5160549470124</v>
      </c>
      <c r="C16" s="59">
        <f>1/(SUM((1/C17),(1/C18),(1/C20),(1/C23),(1/C25),(1/C26),(1/C27),(1/C29)))</f>
        <v>2.2235160549470123</v>
      </c>
      <c r="D16" s="59">
        <f>IFERROR(1/(1/D17),0)</f>
        <v>2.6485627192276269E-5</v>
      </c>
      <c r="E16" s="59">
        <f>B16/s_AFss</f>
        <v>44470.321098940243</v>
      </c>
      <c r="F16" s="59">
        <f>(B16/s_AFss)/1000</f>
        <v>44.470321098940246</v>
      </c>
      <c r="G16" s="59">
        <f>IFERROR(B16/(s_AFgw*1000*s_isospec!M14),0)</f>
        <v>256.57705014976494</v>
      </c>
      <c r="H16" s="59">
        <f>1/(SUM((1/H17),(1/H20),(1/H23),(1/H26)))</f>
        <v>2264.5492423578985</v>
      </c>
      <c r="I16" s="59">
        <f>1/(SUM((1/I17),(1/I18),(1/I20),(1/I23),(1/I25),(1/I26),(1/I27),(1/I29)))</f>
        <v>122711.92942386471</v>
      </c>
      <c r="J16" s="59">
        <f>1/(SUM((1/J17),(1/J18),(1/J20),(1/J23),(1/J25),(1/J26),(1/J27),(1/J29)))</f>
        <v>2223.5160549470124</v>
      </c>
      <c r="T16" s="59">
        <f>1/(SUM((1/T17),(1/T18),(1/T20),(1/T23),(1/T25),(1/T26),(1/T27),(1/T29)))</f>
        <v>656.95747378733847</v>
      </c>
      <c r="U16" s="59">
        <f>1/(SUM((1/U17),(1/U18),(1/U20),(1/U23),(1/U25),(1/U26),(1/U27),(1/U29)))</f>
        <v>0.65695747378733826</v>
      </c>
      <c r="V16" s="59">
        <f>1/(1/V17)</f>
        <v>7.7260312932273226E-6</v>
      </c>
      <c r="W16" s="59">
        <f>T16/s_AFss</f>
        <v>13139.149475746768</v>
      </c>
      <c r="X16" s="59">
        <f>(T16/s_AFss)/1000</f>
        <v>13.139149475746768</v>
      </c>
      <c r="Y16" s="59">
        <f>IFERROR(T16/(s_AFgw*1000*s_isospec!M14),0)</f>
        <v>75.807957546865424</v>
      </c>
      <c r="Z16" s="59">
        <f>1/(SUM((1/Z17),(1/Z20),(1/Z23),(1/Z26)))</f>
        <v>660.49352902105363</v>
      </c>
      <c r="AA16" s="59">
        <f>1/(SUM((1/AA17),(1/AA18),(1/AA20),(1/AA23),(1/AA25),(1/AA26),(1/AA27),(1/AA29)))</f>
        <v>122711.92942386471</v>
      </c>
      <c r="AB16" s="59">
        <f>1/(SUM((1/AB17),(1/AB18),(1/AB20),(1/AB23),(1/AB25),(1/AB26),(1/AB27),(1/AB29)))</f>
        <v>656.95747378733847</v>
      </c>
    </row>
    <row r="17" spans="1:37" x14ac:dyDescent="0.25">
      <c r="A17" s="23" t="s">
        <v>1</v>
      </c>
      <c r="B17" s="60">
        <f>J17</f>
        <v>7612.2901583378243</v>
      </c>
      <c r="C17" s="60">
        <f t="shared" ref="C17:C18" si="12">MIN(I17:J17)/1000</f>
        <v>7.6122901583378244</v>
      </c>
      <c r="D17" s="60">
        <f>(C17/1000)*s_Aeq_Feq!E14</f>
        <v>2.6485627192276265E-5</v>
      </c>
      <c r="E17" s="60"/>
      <c r="F17" s="60"/>
      <c r="G17" s="60"/>
      <c r="H17" s="60">
        <f>IFERROR((s_DL)/(s_isospec!D14*s_IFAres_adj_d)/s_Aeq_Feq!B14,0)</f>
        <v>7613.7602855160121</v>
      </c>
      <c r="I17" s="60">
        <f>IFERROR((s_DL)/(s_isospec!E14*s_EFres*(1/365)*1*s_ETres*(1/24)*s_GSFa)/s_Aeq_Feq!B14,0)</f>
        <v>39423903.829074092</v>
      </c>
      <c r="J17" s="60">
        <f>IFERROR(IF(AND(H17&lt;&gt;0,I17&lt;&gt;0),1/((1/H17)+(1/I17)),IF(AND(H17&lt;&gt;0,I17=0),1/(1/H17),IF(AND(H17=0,I17&lt;&gt;0),1/(1/I17),IF(AND(H17=0,I17=0),0)))),0)</f>
        <v>7612.2901583378243</v>
      </c>
      <c r="T17" s="60">
        <f t="shared" ref="T17:T18" si="13">AB17</f>
        <v>2220.5550032658989</v>
      </c>
      <c r="U17" s="60">
        <f t="shared" ref="U17:U18" si="14">MIN(AA17:AB17)/1000</f>
        <v>2.2205550032658987</v>
      </c>
      <c r="V17" s="60">
        <f>(U17/1000)*s_Aeq_Feq!G14</f>
        <v>7.7260312932273226E-6</v>
      </c>
      <c r="W17" s="60"/>
      <c r="X17" s="60"/>
      <c r="Y17" s="60"/>
      <c r="Z17" s="60">
        <f>IFERROR((s_DL)/(s_isospec!D14*s_EFw*1*s_ETw*(1/24)*s_IRAw)/s_Aeq_Feq!C14,0)</f>
        <v>2220.680083275503</v>
      </c>
      <c r="AA17" s="60">
        <f>IFERROR((s_DL)/(s_isospec!E14*s_EFw*(1/365)*1*s_ETw*(1/24)*s_GSFa)/s_Aeq_Feq!C14,0)</f>
        <v>39423903.829074092</v>
      </c>
      <c r="AB17" s="60">
        <f t="shared" ref="AB17:AB18" si="15">IFERROR(IF(AND(Z17&lt;&gt;0,AA17&lt;&gt;0),1/((1/Z17)+(1/AA17)),IF(AND(Z17&lt;&gt;0,AA17=0),1/(1/Z17),IF(AND(Z17=0,AA17&lt;&gt;0),1/(1/AA17),IF(AND(Z17=0,AA17=0),0)))),0)</f>
        <v>2220.5550032658989</v>
      </c>
    </row>
    <row r="18" spans="1:37" x14ac:dyDescent="0.25">
      <c r="A18" s="23" t="s">
        <v>108</v>
      </c>
      <c r="B18" s="60">
        <f>J18</f>
        <v>4799673020710.6387</v>
      </c>
      <c r="C18" s="60">
        <f t="shared" si="12"/>
        <v>4799673020.710639</v>
      </c>
      <c r="D18" s="60">
        <f>(C18/1000)*s_Aeq_Feq!E15</f>
        <v>0</v>
      </c>
      <c r="E18" s="60"/>
      <c r="F18" s="60"/>
      <c r="G18" s="60"/>
      <c r="H18" s="60">
        <f>IFERROR((s_DL)/(s_isospec!D15*s_IFAres_adj_d)/s_Aeq_Feq!B15,0)</f>
        <v>0</v>
      </c>
      <c r="I18" s="60">
        <f>IFERROR((s_DL)/(s_isospec!E15*s_EFres*(1/365)*1*s_ETres*(1/24)*s_GSFa)/s_Aeq_Feq!B15,0)</f>
        <v>4799673020710.6387</v>
      </c>
      <c r="J18" s="60">
        <f t="shared" ref="J18" si="16">IFERROR(IF(AND(H18&lt;&gt;0,I18&lt;&gt;0),1/((1/H18)+(1/I18)),IF(AND(H18&lt;&gt;0,I18=0),1/(1/H18),IF(AND(H18=0,I18&lt;&gt;0),1/(1/I18),IF(AND(H18=0,I18=0),0)))),0)</f>
        <v>4799673020710.6387</v>
      </c>
      <c r="T18" s="60">
        <f t="shared" si="13"/>
        <v>4799673020710.6387</v>
      </c>
      <c r="U18" s="60">
        <f t="shared" si="14"/>
        <v>4799673020.710639</v>
      </c>
      <c r="V18" s="60">
        <f>(U18/1000)*s_Aeq_Feq!G15</f>
        <v>0</v>
      </c>
      <c r="W18" s="60"/>
      <c r="X18" s="60"/>
      <c r="Y18" s="60"/>
      <c r="Z18" s="60">
        <f>IFERROR((s_DL)/(s_isospec!D15*s_EFw*1*s_ETw*(1/24)*s_IRAw)/s_Aeq_Feq!C15,0)</f>
        <v>0</v>
      </c>
      <c r="AA18" s="60">
        <f>IFERROR((s_DL)/(s_isospec!E15*s_EFw*(1/365)*1*s_ETw*(1/24)*s_GSFa)/s_Aeq_Feq!C15,0)</f>
        <v>4799673020710.6387</v>
      </c>
      <c r="AB18" s="60">
        <f t="shared" si="15"/>
        <v>4799673020710.6387</v>
      </c>
    </row>
    <row r="19" spans="1:37" x14ac:dyDescent="0.25">
      <c r="A19" s="23" t="s">
        <v>173</v>
      </c>
      <c r="B19" s="60">
        <f t="shared" ref="B19:B29" si="17">J19</f>
        <v>0</v>
      </c>
      <c r="C19" s="60">
        <f t="shared" ref="C19:C29" si="18">MIN(I19:J19)/1000</f>
        <v>0</v>
      </c>
      <c r="D19" s="60">
        <f>(C19/1000)*s_Aeq_Feq!E16</f>
        <v>0</v>
      </c>
      <c r="E19" s="60"/>
      <c r="F19" s="60"/>
      <c r="G19" s="60"/>
      <c r="H19" s="60">
        <f>IFERROR((s_DL)/(s_isospec!D16*s_IFAres_adj_d)/s_Aeq_Feq!B16,0)</f>
        <v>0</v>
      </c>
      <c r="I19" s="60">
        <f>IFERROR((s_DL)/(s_isospec!E16*s_EFres*(1/365)*1*s_ETres*(1/24)*s_GSFa)/s_Aeq_Feq!B16,0)</f>
        <v>0</v>
      </c>
      <c r="J19" s="60">
        <f t="shared" ref="J19:J29" si="19">IFERROR(IF(AND(H19&lt;&gt;0,I19&lt;&gt;0),1/((1/H19)+(1/I19)),IF(AND(H19&lt;&gt;0,I19=0),1/(1/H19),IF(AND(H19=0,I19&lt;&gt;0),1/(1/I19),IF(AND(H19=0,I19=0),0)))),0)</f>
        <v>0</v>
      </c>
      <c r="T19" s="60">
        <f t="shared" ref="T19:T29" si="20">AB19</f>
        <v>0</v>
      </c>
      <c r="U19" s="60">
        <f t="shared" ref="U19:U29" si="21">MIN(AA19:AB19)/1000</f>
        <v>0</v>
      </c>
      <c r="V19" s="60">
        <f>(U19/1000)*s_Aeq_Feq!G16</f>
        <v>0</v>
      </c>
      <c r="W19" s="60"/>
      <c r="X19" s="60"/>
      <c r="Y19" s="60"/>
      <c r="Z19" s="60">
        <f>IFERROR((s_DL)/(s_isospec!D16*s_EFw*1*s_ETw*(1/24)*s_IRAw)/s_Aeq_Feq!C16,0)</f>
        <v>0</v>
      </c>
      <c r="AA19" s="60">
        <f>IFERROR((s_DL)/(s_isospec!E16*s_EFw*(1/365)*1*s_ETw*(1/24)*s_GSFa)/s_Aeq_Feq!C16,0)</f>
        <v>0</v>
      </c>
      <c r="AB19" s="60">
        <f t="shared" ref="AB19:AB29" si="22">IFERROR(IF(AND(Z19&lt;&gt;0,AA19&lt;&gt;0),1/((1/Z19)+(1/AA19)),IF(AND(Z19&lt;&gt;0,AA19=0),1/(1/Z19),IF(AND(Z19=0,AA19&lt;&gt;0),1/(1/AA19),IF(AND(Z19=0,AA19=0),0)))),0)</f>
        <v>0</v>
      </c>
    </row>
    <row r="20" spans="1:37" x14ac:dyDescent="0.25">
      <c r="A20" s="23" t="s">
        <v>109</v>
      </c>
      <c r="B20" s="60">
        <f t="shared" si="17"/>
        <v>23440.061475408849</v>
      </c>
      <c r="C20" s="60">
        <f t="shared" si="18"/>
        <v>23.44006147540885</v>
      </c>
      <c r="D20" s="60">
        <f>(C20/1000)*s_Aeq_Feq!E17</f>
        <v>0</v>
      </c>
      <c r="E20" s="60"/>
      <c r="F20" s="60"/>
      <c r="G20" s="60"/>
      <c r="H20" s="60">
        <f>IFERROR((s_DL)/(s_isospec!D17*s_IFAres_adj_d)/s_Aeq_Feq!B17,0)</f>
        <v>26769.584565326775</v>
      </c>
      <c r="I20" s="60">
        <f>IFERROR((s_DL)/(s_isospec!E17*s_EFres*(1/365)*1*s_ETres*(1/24)*s_GSFa)/s_Aeq_Feq!B17,0)</f>
        <v>188459.63549028375</v>
      </c>
      <c r="J20" s="60">
        <f t="shared" si="19"/>
        <v>23440.061475408849</v>
      </c>
      <c r="T20" s="60">
        <f t="shared" si="20"/>
        <v>7497.1903701305655</v>
      </c>
      <c r="U20" s="60">
        <f t="shared" si="21"/>
        <v>7.4971903701305651</v>
      </c>
      <c r="V20" s="60">
        <f>(U20/1000)*s_Aeq_Feq!G17</f>
        <v>0</v>
      </c>
      <c r="W20" s="60"/>
      <c r="X20" s="60"/>
      <c r="Y20" s="60"/>
      <c r="Z20" s="60">
        <f>IFERROR((s_DL)/(s_isospec!D17*s_EFw*1*s_ETw*(1/24)*s_IRAw)/s_Aeq_Feq!C17,0)</f>
        <v>7807.79549822031</v>
      </c>
      <c r="AA20" s="60">
        <f>IFERROR((s_DL)/(s_isospec!E17*s_EFw*(1/365)*1*s_ETw*(1/24)*s_GSFa)/s_Aeq_Feq!C17,0)</f>
        <v>188459.63549028375</v>
      </c>
      <c r="AB20" s="60">
        <f t="shared" si="22"/>
        <v>7497.1903701305655</v>
      </c>
    </row>
    <row r="21" spans="1:37" x14ac:dyDescent="0.25">
      <c r="A21" s="23" t="s">
        <v>174</v>
      </c>
      <c r="B21" s="60">
        <f t="shared" si="17"/>
        <v>0</v>
      </c>
      <c r="C21" s="60">
        <f t="shared" si="18"/>
        <v>0</v>
      </c>
      <c r="D21" s="60">
        <f>(C21/1000)*s_Aeq_Feq!E18</f>
        <v>0</v>
      </c>
      <c r="E21" s="60"/>
      <c r="F21" s="60"/>
      <c r="G21" s="60"/>
      <c r="H21" s="60">
        <f>IFERROR((s_DL)/(s_isospec!D18*s_IFAres_adj_d)/s_Aeq_Feq!B18,0)</f>
        <v>0</v>
      </c>
      <c r="I21" s="60">
        <f>IFERROR((s_DL)/(s_isospec!E18*s_EFres*(1/365)*1*s_ETres*(1/24)*s_GSFa)/s_Aeq_Feq!B18,0)</f>
        <v>0</v>
      </c>
      <c r="J21" s="60">
        <f t="shared" si="19"/>
        <v>0</v>
      </c>
      <c r="T21" s="60">
        <f t="shared" si="20"/>
        <v>0</v>
      </c>
      <c r="U21" s="60">
        <f t="shared" si="21"/>
        <v>0</v>
      </c>
      <c r="V21" s="60">
        <f>(U21/1000)*s_Aeq_Feq!G18</f>
        <v>0</v>
      </c>
      <c r="W21" s="60"/>
      <c r="X21" s="60"/>
      <c r="Y21" s="60"/>
      <c r="Z21" s="60">
        <f>IFERROR((s_DL)/(s_isospec!D18*s_EFw*1*s_ETw*(1/24)*s_IRAw)/s_Aeq_Feq!C18,0)</f>
        <v>0</v>
      </c>
      <c r="AA21" s="60">
        <f>IFERROR((s_DL)/(s_isospec!E18*s_EFw*(1/365)*1*s_ETw*(1/24)*s_GSFa)/s_Aeq_Feq!C18,0)</f>
        <v>0</v>
      </c>
      <c r="AB21" s="60">
        <f t="shared" si="22"/>
        <v>0</v>
      </c>
    </row>
    <row r="22" spans="1:37" x14ac:dyDescent="0.25">
      <c r="A22" s="23" t="s">
        <v>175</v>
      </c>
      <c r="B22" s="60">
        <f t="shared" si="17"/>
        <v>0</v>
      </c>
      <c r="C22" s="60">
        <f t="shared" si="18"/>
        <v>0</v>
      </c>
      <c r="D22" s="60">
        <f>(C22/1000)*s_Aeq_Feq!E19</f>
        <v>0</v>
      </c>
      <c r="E22" s="60"/>
      <c r="F22" s="60"/>
      <c r="G22" s="60"/>
      <c r="H22" s="60">
        <f>IFERROR((s_DL)/(s_isospec!D19*s_IFAres_adj_d)/s_Aeq_Feq!B19,0)</f>
        <v>0</v>
      </c>
      <c r="I22" s="60">
        <f>IFERROR((s_DL)/(s_isospec!E19*s_EFres*(1/365)*1*s_ETres*(1/24)*s_GSFa)/s_Aeq_Feq!B19,0)</f>
        <v>0</v>
      </c>
      <c r="J22" s="60">
        <f t="shared" si="19"/>
        <v>0</v>
      </c>
      <c r="T22" s="60">
        <f t="shared" si="20"/>
        <v>0</v>
      </c>
      <c r="U22" s="60">
        <f t="shared" si="21"/>
        <v>0</v>
      </c>
      <c r="V22" s="60">
        <f>(U22/1000)*s_Aeq_Feq!G19</f>
        <v>0</v>
      </c>
      <c r="W22" s="60"/>
      <c r="X22" s="60"/>
      <c r="Y22" s="60"/>
      <c r="Z22" s="60">
        <f>IFERROR((s_DL)/(s_isospec!D19*s_EFw*1*s_ETw*(1/24)*s_IRAw)/s_Aeq_Feq!C19,0)</f>
        <v>0</v>
      </c>
      <c r="AA22" s="60">
        <f>IFERROR((s_DL)/(s_isospec!E19*s_EFw*(1/365)*1*s_ETw*(1/24)*s_GSFa)/s_Aeq_Feq!C19,0)</f>
        <v>0</v>
      </c>
      <c r="AB22" s="60">
        <f t="shared" si="22"/>
        <v>0</v>
      </c>
    </row>
    <row r="23" spans="1:37" x14ac:dyDescent="0.25">
      <c r="A23" s="23" t="s">
        <v>107</v>
      </c>
      <c r="B23" s="60">
        <f t="shared" si="17"/>
        <v>6080.0831050940378</v>
      </c>
      <c r="C23" s="60">
        <f t="shared" si="18"/>
        <v>6.0800831050940376</v>
      </c>
      <c r="D23" s="60">
        <f>(C23/1000)*s_Aeq_Feq!E20</f>
        <v>0</v>
      </c>
      <c r="E23" s="60"/>
      <c r="F23" s="60"/>
      <c r="G23" s="60"/>
      <c r="H23" s="60">
        <f>IFERROR((s_DL)/(s_isospec!D20*s_IFAres_adj_d)/s_Aeq_Feq!B20,0)</f>
        <v>6185.9795418057856</v>
      </c>
      <c r="I23" s="60">
        <f>IFERROR((s_DL)/(s_isospec!E20*s_EFres*(1/365)*1*s_ETres*(1/24)*s_GSFa)/s_Aeq_Feq!B20,0)</f>
        <v>355170.30476643331</v>
      </c>
      <c r="J23" s="60">
        <f t="shared" si="19"/>
        <v>6080.0831050940378</v>
      </c>
      <c r="T23" s="60">
        <f t="shared" si="20"/>
        <v>1795.1249052298729</v>
      </c>
      <c r="U23" s="60">
        <f t="shared" si="21"/>
        <v>1.7951249052298728</v>
      </c>
      <c r="V23" s="60">
        <f>(U23/1000)*s_Aeq_Feq!G20</f>
        <v>0</v>
      </c>
      <c r="W23" s="60"/>
      <c r="X23" s="60"/>
      <c r="Y23" s="60"/>
      <c r="Z23" s="60">
        <f>IFERROR((s_DL)/(s_isospec!D20*s_EFw*1*s_ETw*(1/24)*s_IRAw)/s_Aeq_Feq!C20,0)</f>
        <v>1804.2440330266872</v>
      </c>
      <c r="AA23" s="60">
        <f>IFERROR((s_DL)/(s_isospec!E20*s_EFw*(1/365)*1*s_ETw*(1/24)*s_GSFa)/s_Aeq_Feq!C20,0)</f>
        <v>355170.30476643331</v>
      </c>
      <c r="AB23" s="60">
        <f t="shared" si="22"/>
        <v>1795.1249052298729</v>
      </c>
    </row>
    <row r="24" spans="1:37" x14ac:dyDescent="0.25">
      <c r="A24" s="23" t="s">
        <v>176</v>
      </c>
      <c r="B24" s="60">
        <f t="shared" si="17"/>
        <v>0</v>
      </c>
      <c r="C24" s="60">
        <f t="shared" si="18"/>
        <v>0</v>
      </c>
      <c r="D24" s="60">
        <f>(C24/1000)*s_Aeq_Feq!E21</f>
        <v>0</v>
      </c>
      <c r="E24" s="60"/>
      <c r="F24" s="60"/>
      <c r="G24" s="60"/>
      <c r="H24" s="60">
        <f>IFERROR((s_DL)/(s_isospec!D21*s_IFAres_adj_d)/s_Aeq_Feq!B21,0)</f>
        <v>0</v>
      </c>
      <c r="I24" s="60">
        <f>IFERROR((s_DL)/(s_isospec!E21*s_EFres*(1/365)*1*s_ETres*(1/24)*s_GSFa)/s_Aeq_Feq!B21,0)</f>
        <v>0</v>
      </c>
      <c r="J24" s="60">
        <f t="shared" si="19"/>
        <v>0</v>
      </c>
      <c r="T24" s="60">
        <f t="shared" si="20"/>
        <v>0</v>
      </c>
      <c r="U24" s="60">
        <f t="shared" si="21"/>
        <v>0</v>
      </c>
      <c r="V24" s="60">
        <f>(U24/1000)*s_Aeq_Feq!G21</f>
        <v>0</v>
      </c>
      <c r="W24" s="60"/>
      <c r="X24" s="60"/>
      <c r="Y24" s="60"/>
      <c r="Z24" s="60">
        <f>IFERROR((s_DL)/(s_isospec!D21*s_EFw*1*s_ETw*(1/24)*s_IRAw)/s_Aeq_Feq!C21,0)</f>
        <v>0</v>
      </c>
      <c r="AA24" s="60">
        <f>IFERROR((s_DL)/(s_isospec!E21*s_EFw*(1/365)*1*s_ETw*(1/24)*s_GSFa)/s_Aeq_Feq!C21,0)</f>
        <v>0</v>
      </c>
      <c r="AB24" s="60">
        <f t="shared" si="22"/>
        <v>0</v>
      </c>
    </row>
    <row r="25" spans="1:37" x14ac:dyDescent="0.25">
      <c r="A25" s="23" t="s">
        <v>111</v>
      </c>
      <c r="B25" s="60">
        <f t="shared" si="17"/>
        <v>3526178969.3050451</v>
      </c>
      <c r="C25" s="60">
        <f t="shared" si="18"/>
        <v>3526178.969305045</v>
      </c>
      <c r="D25" s="60">
        <f>(C25/1000)*s_Aeq_Feq!E22</f>
        <v>0</v>
      </c>
      <c r="E25" s="60"/>
      <c r="F25" s="60"/>
      <c r="G25" s="60"/>
      <c r="H25" s="60">
        <f>IFERROR((s_DL)/(s_isospec!D22*s_IFAres_adj_d)/s_Aeq_Feq!B22,0)</f>
        <v>0</v>
      </c>
      <c r="I25" s="60">
        <f>IFERROR((s_DL)/(s_isospec!E22*s_EFres*(1/365)*1*s_ETres*(1/24)*s_GSFa)/s_Aeq_Feq!B22,0)</f>
        <v>3526178969.3050451</v>
      </c>
      <c r="J25" s="60">
        <f t="shared" si="19"/>
        <v>3526178969.3050451</v>
      </c>
      <c r="T25" s="60">
        <f t="shared" si="20"/>
        <v>3526178969.3050451</v>
      </c>
      <c r="U25" s="60">
        <f t="shared" si="21"/>
        <v>3526178.969305045</v>
      </c>
      <c r="V25" s="60">
        <f>(U25/1000)*s_Aeq_Feq!G22</f>
        <v>0</v>
      </c>
      <c r="W25" s="60"/>
      <c r="X25" s="60"/>
      <c r="Y25" s="60"/>
      <c r="Z25" s="60">
        <f>IFERROR((s_DL)/(s_isospec!D22*s_EFw*1*s_ETw*(1/24)*s_IRAw)/s_Aeq_Feq!C22,0)</f>
        <v>0</v>
      </c>
      <c r="AA25" s="60">
        <f>IFERROR((s_DL)/(s_isospec!E22*s_EFw*(1/365)*1*s_ETw*(1/24)*s_GSFa)/s_Aeq_Feq!C22,0)</f>
        <v>3526178969.3050451</v>
      </c>
      <c r="AB25" s="60">
        <f t="shared" si="22"/>
        <v>3526178969.3050451</v>
      </c>
    </row>
    <row r="26" spans="1:37" x14ac:dyDescent="0.25">
      <c r="A26" s="23" t="s">
        <v>106</v>
      </c>
      <c r="B26" s="60">
        <f t="shared" si="17"/>
        <v>8989.8850293381347</v>
      </c>
      <c r="C26" s="60">
        <f t="shared" si="18"/>
        <v>8.9898850293381347</v>
      </c>
      <c r="D26" s="60">
        <f>(C26/1000)*s_Aeq_Feq!E23</f>
        <v>0</v>
      </c>
      <c r="E26" s="60"/>
      <c r="F26" s="60"/>
      <c r="G26" s="60"/>
      <c r="H26" s="60">
        <f>IFERROR((s_DL)/(s_isospec!D23*s_IFAres_adj_d)/s_Aeq_Feq!B23,0)</f>
        <v>8989.8852553520737</v>
      </c>
      <c r="I26" s="60">
        <f>IFERROR((s_DL)/(s_isospec!E23*s_EFres*(1/365)*1*s_ETres*(1/24)*s_GSFa)/s_Aeq_Feq!B23,0)</f>
        <v>357579867588.17517</v>
      </c>
      <c r="J26" s="60">
        <f t="shared" si="19"/>
        <v>8989.8850293381347</v>
      </c>
      <c r="T26" s="60">
        <f t="shared" si="20"/>
        <v>2622.049846917474</v>
      </c>
      <c r="U26" s="60">
        <f t="shared" si="21"/>
        <v>2.622049846917474</v>
      </c>
      <c r="V26" s="60">
        <f>(U26/1000)*s_Aeq_Feq!G23</f>
        <v>0</v>
      </c>
      <c r="W26" s="60"/>
      <c r="X26" s="60"/>
      <c r="Y26" s="60"/>
      <c r="Z26" s="60">
        <f>IFERROR((s_DL)/(s_isospec!D23*s_EFw*1*s_ETw*(1/24)*s_IRAw)/s_Aeq_Feq!C23,0)</f>
        <v>2622.0498661443544</v>
      </c>
      <c r="AA26" s="60">
        <f>IFERROR((s_DL)/(s_isospec!E23*s_EFw*(1/365)*1*s_ETw*(1/24)*s_GSFa)/s_Aeq_Feq!C23,0)</f>
        <v>357579867588.17517</v>
      </c>
      <c r="AB26" s="60">
        <f t="shared" si="22"/>
        <v>2622.049846917474</v>
      </c>
    </row>
    <row r="27" spans="1:37" x14ac:dyDescent="0.25">
      <c r="A27" s="23" t="s">
        <v>110</v>
      </c>
      <c r="B27" s="60">
        <f t="shared" si="17"/>
        <v>138343516479306.69</v>
      </c>
      <c r="C27" s="60">
        <f t="shared" si="18"/>
        <v>138343516479.30667</v>
      </c>
      <c r="D27" s="60">
        <f>(C27/1000)*s_Aeq_Feq!E24</f>
        <v>0</v>
      </c>
      <c r="E27" s="60"/>
      <c r="F27" s="60"/>
      <c r="G27" s="60"/>
      <c r="H27" s="60">
        <f>IFERROR((s_DL)/(s_isospec!D24*s_IFAres_adj_d)/s_Aeq_Feq!B24,0)</f>
        <v>0</v>
      </c>
      <c r="I27" s="60">
        <f>IFERROR((s_DL)/(s_isospec!E24*s_EFres*(1/365)*1*s_ETres*(1/24)*s_GSFa)/s_Aeq_Feq!B24,0)</f>
        <v>138343516479306.67</v>
      </c>
      <c r="J27" s="60">
        <f t="shared" si="19"/>
        <v>138343516479306.69</v>
      </c>
      <c r="T27" s="60">
        <f t="shared" si="20"/>
        <v>138343516479306.69</v>
      </c>
      <c r="U27" s="60">
        <f t="shared" si="21"/>
        <v>138343516479.30667</v>
      </c>
      <c r="V27" s="60">
        <f>(U27/1000)*s_Aeq_Feq!G24</f>
        <v>0</v>
      </c>
      <c r="W27" s="60"/>
      <c r="X27" s="60"/>
      <c r="Y27" s="60"/>
      <c r="Z27" s="60">
        <f>IFERROR((s_DL)/(s_isospec!D24*s_EFw*1*s_ETw*(1/24)*s_IRAw)/s_Aeq_Feq!C24,0)</f>
        <v>0</v>
      </c>
      <c r="AA27" s="60">
        <f>IFERROR((s_DL)/(s_isospec!E24*s_EFw*(1/365)*1*s_ETw*(1/24)*s_GSFa)/s_Aeq_Feq!C24,0)</f>
        <v>138343516479306.67</v>
      </c>
      <c r="AB27" s="60">
        <f t="shared" si="22"/>
        <v>138343516479306.69</v>
      </c>
    </row>
    <row r="28" spans="1:37" x14ac:dyDescent="0.25">
      <c r="A28" s="23" t="s">
        <v>177</v>
      </c>
      <c r="B28" s="60">
        <f t="shared" si="17"/>
        <v>0</v>
      </c>
      <c r="C28" s="60">
        <f t="shared" si="18"/>
        <v>0</v>
      </c>
      <c r="D28" s="60">
        <f>(C28/1000)*s_Aeq_Feq!E25</f>
        <v>0</v>
      </c>
      <c r="E28" s="60"/>
      <c r="F28" s="60"/>
      <c r="G28" s="60"/>
      <c r="H28" s="60">
        <f>IFERROR((s_DL)/(s_isospec!D25*s_IFAres_adj_d)/s_Aeq_Feq!B25,0)</f>
        <v>0</v>
      </c>
      <c r="I28" s="60">
        <f>IFERROR((s_DL)/(s_isospec!E25*s_EFres*(1/365)*1*s_ETres*(1/24)*s_GSFa)/s_Aeq_Feq!B25,0)</f>
        <v>0</v>
      </c>
      <c r="J28" s="60">
        <f t="shared" si="19"/>
        <v>0</v>
      </c>
      <c r="T28" s="60">
        <f t="shared" si="20"/>
        <v>0</v>
      </c>
      <c r="U28" s="60">
        <f t="shared" si="21"/>
        <v>0</v>
      </c>
      <c r="V28" s="60">
        <f>(U28/1000)*s_Aeq_Feq!G25</f>
        <v>0</v>
      </c>
      <c r="W28" s="60"/>
      <c r="X28" s="60"/>
      <c r="Y28" s="60"/>
      <c r="Z28" s="60">
        <f>IFERROR((s_DL)/(s_isospec!D25*s_EFw*1*s_ETw*(1/24)*s_IRAw)/s_Aeq_Feq!C25,0)</f>
        <v>0</v>
      </c>
      <c r="AA28" s="60">
        <f>IFERROR((s_DL)/(s_isospec!E25*s_EFw*(1/365)*1*s_ETw*(1/24)*s_GSFa)/s_Aeq_Feq!C25,0)</f>
        <v>0</v>
      </c>
      <c r="AB28" s="60">
        <f t="shared" si="22"/>
        <v>0</v>
      </c>
    </row>
    <row r="29" spans="1:37" x14ac:dyDescent="0.25">
      <c r="A29" s="23" t="s">
        <v>112</v>
      </c>
      <c r="B29" s="60">
        <f t="shared" si="17"/>
        <v>559190555.0988636</v>
      </c>
      <c r="C29" s="60">
        <f t="shared" si="18"/>
        <v>559190.55509886355</v>
      </c>
      <c r="D29" s="60">
        <f>(C29/1000)*s_Aeq_Feq!E26</f>
        <v>0</v>
      </c>
      <c r="E29" s="60"/>
      <c r="F29" s="60"/>
      <c r="G29" s="60"/>
      <c r="H29" s="60">
        <f>IFERROR((s_DL)/(s_isospec!D26*s_IFAres_adj_d)/s_Aeq_Feq!B26,0)</f>
        <v>0</v>
      </c>
      <c r="I29" s="60">
        <f>IFERROR((s_DL)/(s_isospec!E26*s_EFres*(1/365)*1*s_ETres*(1/24)*s_GSFa)/s_Aeq_Feq!B26,0)</f>
        <v>559190555.0988636</v>
      </c>
      <c r="J29" s="60">
        <f t="shared" si="19"/>
        <v>559190555.0988636</v>
      </c>
      <c r="T29" s="60">
        <f t="shared" si="20"/>
        <v>559190555.0988636</v>
      </c>
      <c r="U29" s="60">
        <f t="shared" si="21"/>
        <v>559190.55509886355</v>
      </c>
      <c r="V29" s="60">
        <f>(U29/1000)*s_Aeq_Feq!G26</f>
        <v>0</v>
      </c>
      <c r="W29" s="60"/>
      <c r="X29" s="60"/>
      <c r="Y29" s="60"/>
      <c r="Z29" s="60">
        <f>IFERROR((s_DL)/(s_isospec!D26*s_EFw*1*s_ETw*(1/24)*s_IRAw)/s_Aeq_Feq!C26,0)</f>
        <v>0</v>
      </c>
      <c r="AA29" s="60">
        <f>IFERROR((s_DL)/(s_isospec!E26*s_EFw*(1/365)*1*s_ETw*(1/24)*s_GSFa)/s_Aeq_Feq!C26,0)</f>
        <v>559190555.0988636</v>
      </c>
      <c r="AB29" s="60">
        <f t="shared" si="22"/>
        <v>559190555.0988636</v>
      </c>
    </row>
    <row r="30" spans="1:37" ht="19.5" thickBot="1" x14ac:dyDescent="0.35">
      <c r="A30" s="57"/>
      <c r="B30" s="116" t="s">
        <v>133</v>
      </c>
      <c r="C30" s="116"/>
      <c r="D30" s="116"/>
      <c r="E30" s="116"/>
      <c r="F30" s="116"/>
      <c r="G30" s="116"/>
      <c r="H30" s="116" t="s">
        <v>133</v>
      </c>
      <c r="I30" s="116"/>
      <c r="J30" s="116"/>
      <c r="K30" s="116"/>
      <c r="L30" s="116"/>
      <c r="M30" s="116"/>
      <c r="N30" s="116" t="s">
        <v>133</v>
      </c>
      <c r="O30" s="116"/>
      <c r="P30" s="116"/>
      <c r="Q30" s="116"/>
      <c r="R30" s="116"/>
      <c r="S30" s="116"/>
      <c r="T30" s="117" t="s">
        <v>134</v>
      </c>
      <c r="U30" s="117"/>
      <c r="V30" s="117"/>
      <c r="W30" s="117"/>
      <c r="X30" s="117"/>
      <c r="Y30" s="117"/>
      <c r="Z30" s="117" t="s">
        <v>134</v>
      </c>
      <c r="AA30" s="117"/>
      <c r="AB30" s="117"/>
      <c r="AC30" s="117"/>
      <c r="AD30" s="117"/>
      <c r="AE30" s="117"/>
      <c r="AF30" s="117" t="s">
        <v>134</v>
      </c>
      <c r="AG30" s="117"/>
      <c r="AH30" s="117"/>
      <c r="AI30" s="117"/>
      <c r="AJ30" s="117"/>
      <c r="AK30" s="117"/>
    </row>
    <row r="31" spans="1:37" ht="16.5" customHeight="1" x14ac:dyDescent="0.25">
      <c r="A31" s="62" t="s">
        <v>81</v>
      </c>
      <c r="B31" s="118" t="s">
        <v>178</v>
      </c>
      <c r="C31" s="112" t="s">
        <v>127</v>
      </c>
      <c r="D31" s="113"/>
      <c r="E31" s="112" t="s">
        <v>180</v>
      </c>
      <c r="F31" s="114"/>
      <c r="G31" s="115"/>
      <c r="H31" s="120" t="s">
        <v>151</v>
      </c>
      <c r="I31" s="112" t="s">
        <v>129</v>
      </c>
      <c r="J31" s="113"/>
      <c r="K31" s="112" t="s">
        <v>181</v>
      </c>
      <c r="L31" s="114"/>
      <c r="M31" s="115"/>
      <c r="N31" s="120" t="s">
        <v>152</v>
      </c>
      <c r="O31" s="112" t="s">
        <v>131</v>
      </c>
      <c r="P31" s="113"/>
      <c r="Q31" s="112" t="s">
        <v>182</v>
      </c>
      <c r="R31" s="114"/>
      <c r="S31" s="115"/>
      <c r="T31" s="118" t="s">
        <v>178</v>
      </c>
      <c r="U31" s="112" t="s">
        <v>127</v>
      </c>
      <c r="V31" s="113"/>
      <c r="W31" s="112" t="s">
        <v>180</v>
      </c>
      <c r="X31" s="114"/>
      <c r="Y31" s="115"/>
      <c r="Z31" s="110" t="s">
        <v>126</v>
      </c>
      <c r="AA31" s="112" t="s">
        <v>129</v>
      </c>
      <c r="AB31" s="113"/>
      <c r="AC31" s="112" t="s">
        <v>181</v>
      </c>
      <c r="AD31" s="114"/>
      <c r="AE31" s="115"/>
      <c r="AF31" s="110" t="s">
        <v>128</v>
      </c>
      <c r="AG31" s="112" t="s">
        <v>131</v>
      </c>
      <c r="AH31" s="113"/>
      <c r="AI31" s="112" t="s">
        <v>182</v>
      </c>
      <c r="AJ31" s="114"/>
      <c r="AK31" s="115"/>
    </row>
    <row r="32" spans="1:37" ht="16.5" customHeight="1" x14ac:dyDescent="0.25">
      <c r="A32" s="57" t="s">
        <v>77</v>
      </c>
      <c r="B32" s="119"/>
      <c r="C32" s="63" t="s">
        <v>120</v>
      </c>
      <c r="D32" s="64" t="s">
        <v>121</v>
      </c>
      <c r="E32" s="63" t="s">
        <v>183</v>
      </c>
      <c r="F32" s="65" t="s">
        <v>184</v>
      </c>
      <c r="G32" s="66" t="s">
        <v>185</v>
      </c>
      <c r="H32" s="121"/>
      <c r="I32" s="63" t="s">
        <v>120</v>
      </c>
      <c r="J32" s="64" t="s">
        <v>121</v>
      </c>
      <c r="K32" s="63" t="s">
        <v>183</v>
      </c>
      <c r="L32" s="65" t="s">
        <v>184</v>
      </c>
      <c r="M32" s="66" t="s">
        <v>185</v>
      </c>
      <c r="N32" s="121"/>
      <c r="O32" s="63" t="s">
        <v>120</v>
      </c>
      <c r="P32" s="64" t="s">
        <v>121</v>
      </c>
      <c r="Q32" s="63" t="s">
        <v>183</v>
      </c>
      <c r="R32" s="65" t="s">
        <v>184</v>
      </c>
      <c r="S32" s="66" t="s">
        <v>185</v>
      </c>
      <c r="T32" s="119"/>
      <c r="U32" s="63" t="s">
        <v>120</v>
      </c>
      <c r="V32" s="64" t="s">
        <v>121</v>
      </c>
      <c r="W32" s="63" t="s">
        <v>183</v>
      </c>
      <c r="X32" s="65" t="s">
        <v>184</v>
      </c>
      <c r="Y32" s="66" t="s">
        <v>185</v>
      </c>
      <c r="Z32" s="111"/>
      <c r="AA32" s="63" t="s">
        <v>120</v>
      </c>
      <c r="AB32" s="64" t="s">
        <v>121</v>
      </c>
      <c r="AC32" s="63" t="s">
        <v>183</v>
      </c>
      <c r="AD32" s="65" t="s">
        <v>184</v>
      </c>
      <c r="AE32" s="66" t="s">
        <v>185</v>
      </c>
      <c r="AF32" s="111"/>
      <c r="AG32" s="63" t="s">
        <v>120</v>
      </c>
      <c r="AH32" s="64" t="s">
        <v>121</v>
      </c>
      <c r="AI32" s="63" t="s">
        <v>183</v>
      </c>
      <c r="AJ32" s="65" t="s">
        <v>184</v>
      </c>
      <c r="AK32" s="66" t="s">
        <v>185</v>
      </c>
    </row>
    <row r="33" spans="1:37" x14ac:dyDescent="0.25">
      <c r="A33" s="57" t="str">
        <f>s_isospec!A2</f>
        <v>Rn-219</v>
      </c>
      <c r="B33" s="102" t="s">
        <v>169</v>
      </c>
      <c r="C33" s="103" t="s">
        <v>179</v>
      </c>
      <c r="D33" s="104">
        <f>Cia_219*(s_Aeq_Feq!$E$2)</f>
        <v>4.5950874382716051E-3</v>
      </c>
      <c r="E33" s="67">
        <f>SUM(E34:E39)</f>
        <v>4.7196949479166657</v>
      </c>
      <c r="F33" s="68">
        <f>SUM(F34:F39)</f>
        <v>0.12909459626429917</v>
      </c>
      <c r="G33" s="69">
        <f>SUM(E33:F33)</f>
        <v>4.8487895441809652</v>
      </c>
      <c r="H33" s="102" t="s">
        <v>169</v>
      </c>
      <c r="I33" s="103" t="s">
        <v>179</v>
      </c>
      <c r="J33" s="104">
        <f>(H34/1000)*(s_Aeq_Feq!$E$2)</f>
        <v>3.3379243294136058E-5</v>
      </c>
      <c r="K33" s="67">
        <f>SUM(K34:K39)</f>
        <v>3.4284406566128849E-2</v>
      </c>
      <c r="L33" s="68">
        <f>SUM(L34:L39)</f>
        <v>9.3775798492424915E-4</v>
      </c>
      <c r="M33" s="69">
        <f>SUM(K33:L33)</f>
        <v>3.5222164551053099E-2</v>
      </c>
      <c r="N33" s="102" t="s">
        <v>169</v>
      </c>
      <c r="O33" s="103" t="s">
        <v>179</v>
      </c>
      <c r="P33" s="104">
        <f>(N34/1000)*(s_Aeq_Feq!$E$2)</f>
        <v>2.2975437191358025E-7</v>
      </c>
      <c r="Q33" s="67">
        <f>SUM(Q34:Q39)</f>
        <v>2.359847473958333E-4</v>
      </c>
      <c r="R33" s="68">
        <f>SUM(R34:R39)</f>
        <v>6.4547298132149565E-6</v>
      </c>
      <c r="S33" s="69">
        <f>SUM(Q33:R33)</f>
        <v>2.4243947720904827E-4</v>
      </c>
      <c r="T33" s="102" t="s">
        <v>169</v>
      </c>
      <c r="U33" s="103" t="s">
        <v>179</v>
      </c>
      <c r="V33" s="104">
        <f>Cia_222*(s_Aeq_Feq!$G$2)</f>
        <v>4.5950874382716051E-3</v>
      </c>
      <c r="W33" s="67">
        <f>SUM(W34:W39)</f>
        <v>16.181811249999996</v>
      </c>
      <c r="X33" s="68">
        <f>SUM(X34:X39)</f>
        <v>0.12909459626429917</v>
      </c>
      <c r="Y33" s="69">
        <f>SUM(W33:X33)</f>
        <v>16.310905846264294</v>
      </c>
      <c r="Z33" s="102" t="s">
        <v>169</v>
      </c>
      <c r="AA33" s="103" t="s">
        <v>179</v>
      </c>
      <c r="AB33" s="104">
        <f>(Z34/1000)*(s_Aeq_Feq!$G$2)</f>
        <v>3.3379243294136058E-5</v>
      </c>
      <c r="AC33" s="67">
        <f>SUM(AC34:AC39)</f>
        <v>0.11754653679815606</v>
      </c>
      <c r="AD33" s="68">
        <f>SUM(AD34:AD39)</f>
        <v>9.3775798492424915E-4</v>
      </c>
      <c r="AE33" s="69">
        <f>SUM(AC33:AD33)</f>
        <v>0.11848429478308031</v>
      </c>
      <c r="AF33" s="102" t="s">
        <v>169</v>
      </c>
      <c r="AG33" s="103" t="s">
        <v>179</v>
      </c>
      <c r="AH33" s="104">
        <f>(AF34/1000)*(s_Aeq_Feq!$G$2)</f>
        <v>2.2975437191358025E-7</v>
      </c>
      <c r="AI33" s="67">
        <f>SUM(AI34:AI39)</f>
        <v>8.0909056249999997E-4</v>
      </c>
      <c r="AJ33" s="68">
        <f>SUM(AJ34:AJ39)</f>
        <v>6.4547298132149565E-6</v>
      </c>
      <c r="AK33" s="69">
        <f>SUM(AI33:AJ33)</f>
        <v>8.1554529231321496E-4</v>
      </c>
    </row>
    <row r="34" spans="1:37" x14ac:dyDescent="0.25">
      <c r="A34" s="57" t="str">
        <f>s_isospec!A2</f>
        <v>Rn-219</v>
      </c>
      <c r="B34" s="75">
        <f>Cia_219*1000</f>
        <v>5000</v>
      </c>
      <c r="C34" s="71">
        <f t="shared" ref="C34:C39" si="23">IFERROR(B34*s_IFAres_adj_d,".")</f>
        <v>501302.08333333331</v>
      </c>
      <c r="D34" s="72">
        <f t="shared" ref="D34:D39" si="24">IFERROR(B34*s_EFres*(1/365)*1*s_ETres*(1/24)*s_GSFa,".")</f>
        <v>313.92694063926939</v>
      </c>
      <c r="E34" s="71">
        <f>C34*s_isospec!$D2</f>
        <v>0</v>
      </c>
      <c r="F34" s="73">
        <f>D34*s_isospec!$E2</f>
        <v>9.3837027945205473E-2</v>
      </c>
      <c r="G34" s="74">
        <f>SUM(E34:F34)</f>
        <v>9.3837027945205473E-2</v>
      </c>
      <c r="H34" s="70">
        <f>IFERROR(Cia_219*(s_AFgw*1000*s_isospec!$M2),".")</f>
        <v>36.320574681698901</v>
      </c>
      <c r="I34" s="71">
        <f t="shared" ref="I34:I39" si="25">IFERROR(H34*s_IFAres_adj_d,".")</f>
        <v>3641.5159511599154</v>
      </c>
      <c r="J34" s="72">
        <f t="shared" ref="J34:J39" si="26">IFERROR(H34*s_EFres*(1/365)*1*s_ETres*(1/24)*s_GSFa,".")</f>
        <v>2.2804013784171682</v>
      </c>
      <c r="K34" s="71">
        <f>IFERROR(I34*s_isospec!$D2,".")</f>
        <v>0</v>
      </c>
      <c r="L34" s="73">
        <f>IFERROR(J34*s_isospec!$E2,".")</f>
        <v>6.8164295627850039E-4</v>
      </c>
      <c r="M34" s="74">
        <f>SUM(K34:L34)</f>
        <v>6.8164295627850039E-4</v>
      </c>
      <c r="N34" s="70">
        <f>Cia_219*s_AFss</f>
        <v>0.25</v>
      </c>
      <c r="O34" s="71">
        <f t="shared" ref="O34:O39" si="27">IFERROR(N34*s_IFAres_adj_d,".")</f>
        <v>25.065104166666664</v>
      </c>
      <c r="P34" s="72">
        <f t="shared" ref="P34:P39" si="28">IFERROR(N34*s_EFres*(1/365)*1*s_ETres*(1/24)*s_GSFa,".")</f>
        <v>1.5696347031963466E-2</v>
      </c>
      <c r="Q34" s="71">
        <f>O34*s_isospec!$D2</f>
        <v>0</v>
      </c>
      <c r="R34" s="73">
        <f>P34*s_isospec!$E2</f>
        <v>4.6918513972602726E-6</v>
      </c>
      <c r="S34" s="74">
        <f>SUM(Q34:R34)</f>
        <v>4.6918513972602726E-6</v>
      </c>
      <c r="T34" s="75">
        <f>Cia_219*1000</f>
        <v>5000</v>
      </c>
      <c r="U34" s="71">
        <f>IFERROR(T34*s_EFw*1*s_ETw*(1/24)*s_IRAw,".")</f>
        <v>1718750</v>
      </c>
      <c r="V34" s="72">
        <f>IFERROR(T34*s_EFw*(1/365)*1*s_ETw*(1/24)*s_GSFa,".")</f>
        <v>313.92694063926939</v>
      </c>
      <c r="W34" s="71">
        <f>U34*s_isospec!$D2</f>
        <v>0</v>
      </c>
      <c r="X34" s="73">
        <f>V34*s_isospec!$E2</f>
        <v>9.3837027945205473E-2</v>
      </c>
      <c r="Y34" s="74">
        <f>SUM(W34:X34)</f>
        <v>9.3837027945205473E-2</v>
      </c>
      <c r="Z34" s="70">
        <f>IFERROR(Cia_219*(s_AFgw*1000*s_isospec!$M2),".")</f>
        <v>36.320574681698901</v>
      </c>
      <c r="AA34" s="71">
        <f>IFERROR(Z34*s_EFw*1*s_ETw*(1/24)*s_IRAw,".")</f>
        <v>12485.197546833997</v>
      </c>
      <c r="AB34" s="72">
        <f>IFERROR(Z34*s_EFw*(1/365)*1*s_ETw*(1/24)*s_GSFa,".")</f>
        <v>2.2804013784171682</v>
      </c>
      <c r="AC34" s="71">
        <f>IFERROR(AA34*s_isospec!$D2,".")</f>
        <v>0</v>
      </c>
      <c r="AD34" s="73">
        <f>IFERROR(AB34*s_isospec!$E2,".")</f>
        <v>6.8164295627850039E-4</v>
      </c>
      <c r="AE34" s="74">
        <f>SUM(AC34:AD34)</f>
        <v>6.8164295627850039E-4</v>
      </c>
      <c r="AF34" s="70">
        <f>Cia_219*s_AFss</f>
        <v>0.25</v>
      </c>
      <c r="AG34" s="71">
        <f>IFERROR(AF34*s_EFw*1*s_ETw*(1/24)*s_IRAw,".")</f>
        <v>85.937499999999986</v>
      </c>
      <c r="AH34" s="72">
        <f>IFERROR(AF34*s_EFw*(1/365)*1*s_ETw*(1/24)*s_GSFa,".")</f>
        <v>1.5696347031963466E-2</v>
      </c>
      <c r="AI34" s="71">
        <f>AG34*s_isospec!$D2</f>
        <v>0</v>
      </c>
      <c r="AJ34" s="73">
        <f>AH34*s_isospec!$E2</f>
        <v>4.6918513972602726E-6</v>
      </c>
      <c r="AK34" s="74">
        <f>SUM(AI34:AJ34)</f>
        <v>4.6918513972602726E-6</v>
      </c>
    </row>
    <row r="35" spans="1:37" x14ac:dyDescent="0.25">
      <c r="A35" s="57" t="str">
        <f>s_isospec!A3</f>
        <v>Rn-219~Bi-211</v>
      </c>
      <c r="B35" s="70">
        <f>B$34*s_Aeq_Feq!$B3</f>
        <v>743.99999999999989</v>
      </c>
      <c r="C35" s="71">
        <f t="shared" si="23"/>
        <v>74593.749999999985</v>
      </c>
      <c r="D35" s="72">
        <f t="shared" si="24"/>
        <v>46.712328767123275</v>
      </c>
      <c r="E35" s="71">
        <f>C35*s_isospec!$D3</f>
        <v>0</v>
      </c>
      <c r="F35" s="73">
        <f>D35*s_isospec!$E3</f>
        <v>1.1290353906082188E-2</v>
      </c>
      <c r="G35" s="74">
        <f t="shared" ref="G35:G39" si="29">SUM(E35:F35)</f>
        <v>1.1290353906082188E-2</v>
      </c>
      <c r="H35" s="70">
        <f>H$34*s_Aeq_Feq!$B3</f>
        <v>5.4045015126367959</v>
      </c>
      <c r="I35" s="71">
        <f t="shared" si="25"/>
        <v>541.85757353259532</v>
      </c>
      <c r="J35" s="72">
        <f t="shared" si="26"/>
        <v>0.33932372510847464</v>
      </c>
      <c r="K35" s="71">
        <f>IFERROR(I35*s_isospec!$D3,".")</f>
        <v>0</v>
      </c>
      <c r="L35" s="73">
        <f>IFERROR(J35*s_isospec!$E3,".")</f>
        <v>8.2014428445733825E-5</v>
      </c>
      <c r="M35" s="74">
        <f t="shared" ref="M35:M39" si="30">SUM(K35:L35)</f>
        <v>8.2014428445733825E-5</v>
      </c>
      <c r="N35" s="70">
        <f>N$34*s_Aeq_Feq!$B3</f>
        <v>3.7199999999999997E-2</v>
      </c>
      <c r="O35" s="71">
        <f t="shared" si="27"/>
        <v>3.7296874999999994</v>
      </c>
      <c r="P35" s="72">
        <f t="shared" si="28"/>
        <v>2.3356164383561639E-3</v>
      </c>
      <c r="Q35" s="71">
        <f>O35*s_isospec!$D3</f>
        <v>0</v>
      </c>
      <c r="R35" s="73">
        <f>P35*s_isospec!$E3</f>
        <v>5.6451769530410948E-7</v>
      </c>
      <c r="S35" s="74">
        <f t="shared" ref="S35:S39" si="31">SUM(Q35:R35)</f>
        <v>5.6451769530410948E-7</v>
      </c>
      <c r="T35" s="70">
        <f>T$34*s_Aeq_Feq!$C3</f>
        <v>743.99999999999989</v>
      </c>
      <c r="U35" s="71">
        <f>IFERROR(T35*s_EFw*1*s_ETw*(1/24)*s_IRAw,".")</f>
        <v>255749.99999999994</v>
      </c>
      <c r="V35" s="72">
        <f>IFERROR(T35*s_EFw*(1/365)*1*s_ETw*(1/24)*s_GSFa,".")</f>
        <v>46.712328767123275</v>
      </c>
      <c r="W35" s="71">
        <f>U35*s_isospec!$D3</f>
        <v>0</v>
      </c>
      <c r="X35" s="73">
        <f>V35*s_isospec!$E3</f>
        <v>1.1290353906082188E-2</v>
      </c>
      <c r="Y35" s="74">
        <f t="shared" ref="Y35:Y39" si="32">SUM(W35:X35)</f>
        <v>1.1290353906082188E-2</v>
      </c>
      <c r="Z35" s="70">
        <f>Z$34*s_Aeq_Feq!$C3</f>
        <v>5.4045015126367959</v>
      </c>
      <c r="AA35" s="71">
        <f>IFERROR(Z35*s_EFw*1*s_ETw*(1/24)*s_IRAw,".")</f>
        <v>1857.7973949688983</v>
      </c>
      <c r="AB35" s="72">
        <f>IFERROR(Z35*s_EFw*(1/365)*1*s_ETw*(1/24)*s_GSFa,".")</f>
        <v>0.33932372510847464</v>
      </c>
      <c r="AC35" s="71">
        <f>IFERROR(AA35*s_isospec!$D3,".")</f>
        <v>0</v>
      </c>
      <c r="AD35" s="73">
        <f>IFERROR(AB35*s_isospec!$E3,".")</f>
        <v>8.2014428445733825E-5</v>
      </c>
      <c r="AE35" s="74">
        <f t="shared" ref="AE35:AE39" si="33">SUM(AC35:AD35)</f>
        <v>8.2014428445733825E-5</v>
      </c>
      <c r="AF35" s="70">
        <f>AF$34*s_Aeq_Feq!$C3</f>
        <v>3.7199999999999997E-2</v>
      </c>
      <c r="AG35" s="71">
        <f>IFERROR(AF35*s_EFw*1*s_ETw*(1/24)*s_IRAw,".")</f>
        <v>12.787499999999998</v>
      </c>
      <c r="AH35" s="72">
        <f>IFERROR(AF35*s_EFw*(1/365)*1*s_ETw*(1/24)*s_GSFa,".")</f>
        <v>2.3356164383561639E-3</v>
      </c>
      <c r="AI35" s="71">
        <f>AG35*s_isospec!$D3</f>
        <v>0</v>
      </c>
      <c r="AJ35" s="73">
        <f>AH35*s_isospec!$E3</f>
        <v>5.6451769530410948E-7</v>
      </c>
      <c r="AK35" s="74">
        <f t="shared" ref="AK35:AK39" si="34">SUM(AI35:AJ35)</f>
        <v>5.6451769530410948E-7</v>
      </c>
    </row>
    <row r="36" spans="1:37" x14ac:dyDescent="0.25">
      <c r="A36" s="57" t="str">
        <f>s_isospec!A4</f>
        <v>Rn-219~Pb-211</v>
      </c>
      <c r="B36" s="70">
        <f>B$34*s_Aeq_Feq!$B4</f>
        <v>935.49999999999989</v>
      </c>
      <c r="C36" s="71">
        <f t="shared" si="23"/>
        <v>93793.619791666642</v>
      </c>
      <c r="D36" s="72">
        <f t="shared" si="24"/>
        <v>58.7357305936073</v>
      </c>
      <c r="E36" s="71">
        <f>C36*s_isospec!$D4</f>
        <v>4.7196949479166657</v>
      </c>
      <c r="F36" s="73">
        <f>D36*s_isospec!$E4</f>
        <v>2.2083298253876709E-2</v>
      </c>
      <c r="G36" s="74">
        <f t="shared" si="29"/>
        <v>4.7417782461705427</v>
      </c>
      <c r="H36" s="70">
        <f>H$34*s_Aeq_Feq!$B4</f>
        <v>6.7955795229458635</v>
      </c>
      <c r="I36" s="71">
        <f t="shared" si="25"/>
        <v>681.32763446202011</v>
      </c>
      <c r="J36" s="72">
        <f t="shared" si="26"/>
        <v>0.4266630979018522</v>
      </c>
      <c r="K36" s="71">
        <f>IFERROR(I36*s_isospec!$D4,".")</f>
        <v>3.4284406566128849E-2</v>
      </c>
      <c r="L36" s="73">
        <f>IFERROR(J36*s_isospec!$E4,".")</f>
        <v>1.6041561668963202E-4</v>
      </c>
      <c r="M36" s="74">
        <f t="shared" si="30"/>
        <v>3.4444822182818483E-2</v>
      </c>
      <c r="N36" s="70">
        <f>N$34*s_Aeq_Feq!$B4</f>
        <v>4.6774999999999997E-2</v>
      </c>
      <c r="O36" s="71">
        <f t="shared" si="27"/>
        <v>4.6896809895833327</v>
      </c>
      <c r="P36" s="72">
        <f t="shared" si="28"/>
        <v>2.9367865296803649E-3</v>
      </c>
      <c r="Q36" s="71">
        <f>O36*s_isospec!$D4</f>
        <v>2.359847473958333E-4</v>
      </c>
      <c r="R36" s="73">
        <f>P36*s_isospec!$E4</f>
        <v>1.1041649126938355E-6</v>
      </c>
      <c r="S36" s="74">
        <f t="shared" si="31"/>
        <v>2.3708891230852714E-4</v>
      </c>
      <c r="T36" s="70">
        <f>T$34*s_Aeq_Feq!$C4</f>
        <v>935.49999999999989</v>
      </c>
      <c r="U36" s="71">
        <f>IFERROR(T36*s_EFw*1*s_ETw*(1/24)*s_IRAw,".")</f>
        <v>321578.12499999994</v>
      </c>
      <c r="V36" s="72">
        <f>IFERROR(T36*s_EFw*(1/365)*1*s_ETw*(1/24)*s_GSFa,".")</f>
        <v>58.7357305936073</v>
      </c>
      <c r="W36" s="71">
        <f>U36*s_isospec!$D4</f>
        <v>16.181811249999996</v>
      </c>
      <c r="X36" s="73">
        <f>V36*s_isospec!$E4</f>
        <v>2.2083298253876709E-2</v>
      </c>
      <c r="Y36" s="74">
        <f t="shared" si="32"/>
        <v>16.203894548253871</v>
      </c>
      <c r="Z36" s="70">
        <f>Z$34*s_Aeq_Feq!$C4</f>
        <v>6.7955795229458635</v>
      </c>
      <c r="AA36" s="71">
        <f>IFERROR(Z36*s_EFw*1*s_ETw*(1/24)*s_IRAw,".")</f>
        <v>2335.9804610126403</v>
      </c>
      <c r="AB36" s="72">
        <f>IFERROR(Z36*s_EFw*(1/365)*1*s_ETw*(1/24)*s_GSFa,".")</f>
        <v>0.4266630979018522</v>
      </c>
      <c r="AC36" s="71">
        <f>IFERROR(AA36*s_isospec!$D4,".")</f>
        <v>0.11754653679815606</v>
      </c>
      <c r="AD36" s="73">
        <f>IFERROR(AB36*s_isospec!$E4,".")</f>
        <v>1.6041561668963202E-4</v>
      </c>
      <c r="AE36" s="74">
        <f t="shared" si="33"/>
        <v>0.11770695241484569</v>
      </c>
      <c r="AF36" s="70">
        <f>AF$34*s_Aeq_Feq!$C4</f>
        <v>4.6774999999999997E-2</v>
      </c>
      <c r="AG36" s="71">
        <f>IFERROR(AF36*s_EFw*1*s_ETw*(1/24)*s_IRAw,".")</f>
        <v>16.078906249999999</v>
      </c>
      <c r="AH36" s="72">
        <f>IFERROR(AF36*s_EFw*(1/365)*1*s_ETw*(1/24)*s_GSFa,".")</f>
        <v>2.9367865296803649E-3</v>
      </c>
      <c r="AI36" s="71">
        <f>AG36*s_isospec!$D4</f>
        <v>8.0909056249999997E-4</v>
      </c>
      <c r="AJ36" s="73">
        <f>AH36*s_isospec!$E4</f>
        <v>1.1041649126938355E-6</v>
      </c>
      <c r="AK36" s="74">
        <f t="shared" si="34"/>
        <v>8.1019472741269386E-4</v>
      </c>
    </row>
    <row r="37" spans="1:37" x14ac:dyDescent="0.25">
      <c r="A37" s="57" t="str">
        <f>s_isospec!A5</f>
        <v>Rn-219~Po-211</v>
      </c>
      <c r="B37" s="70">
        <f>B$34*s_Aeq_Feq!$B5</f>
        <v>2</v>
      </c>
      <c r="C37" s="71">
        <f t="shared" si="23"/>
        <v>200.52083333333331</v>
      </c>
      <c r="D37" s="72">
        <f t="shared" si="24"/>
        <v>0.12557077625570773</v>
      </c>
      <c r="E37" s="71">
        <f>C37*s_isospec!$D5</f>
        <v>0</v>
      </c>
      <c r="F37" s="73">
        <f>D37*s_isospec!$E5</f>
        <v>5.4689392849315051E-6</v>
      </c>
      <c r="G37" s="74">
        <f t="shared" si="29"/>
        <v>5.4689392849315051E-6</v>
      </c>
      <c r="H37" s="70">
        <f>H$34*s_Aeq_Feq!$B5</f>
        <v>1.4528229872679561E-2</v>
      </c>
      <c r="I37" s="71">
        <f t="shared" si="25"/>
        <v>1.4566063804639662</v>
      </c>
      <c r="J37" s="72">
        <f t="shared" si="26"/>
        <v>9.1216055136686749E-4</v>
      </c>
      <c r="K37" s="71">
        <f>IFERROR(I37*s_isospec!$D5,".")</f>
        <v>0</v>
      </c>
      <c r="L37" s="73">
        <f>IFERROR(J37*s_isospec!$E5,".")</f>
        <v>3.972700354560636E-8</v>
      </c>
      <c r="M37" s="74">
        <f t="shared" si="30"/>
        <v>3.972700354560636E-8</v>
      </c>
      <c r="N37" s="70">
        <f>N$34*s_Aeq_Feq!$B5</f>
        <v>1E-4</v>
      </c>
      <c r="O37" s="71">
        <f t="shared" si="27"/>
        <v>1.0026041666666666E-2</v>
      </c>
      <c r="P37" s="72">
        <f t="shared" si="28"/>
        <v>6.2785388127853883E-6</v>
      </c>
      <c r="Q37" s="71">
        <f>O37*s_isospec!$D5</f>
        <v>0</v>
      </c>
      <c r="R37" s="73">
        <f>P37*s_isospec!$E5</f>
        <v>2.7344696424657536E-10</v>
      </c>
      <c r="S37" s="74">
        <f t="shared" si="31"/>
        <v>2.7344696424657536E-10</v>
      </c>
      <c r="T37" s="70">
        <f>T$34*s_Aeq_Feq!$C5</f>
        <v>2</v>
      </c>
      <c r="U37" s="71">
        <f>IFERROR(T37*s_EFw*1*s_ETw*(1/24)*s_IRAw,".")</f>
        <v>687.49999999999989</v>
      </c>
      <c r="V37" s="72">
        <f>IFERROR(T37*s_EFw*(1/365)*1*s_ETw*(1/24)*s_GSFa,".")</f>
        <v>0.12557077625570773</v>
      </c>
      <c r="W37" s="71">
        <f>U37*s_isospec!$D5</f>
        <v>0</v>
      </c>
      <c r="X37" s="73">
        <f>V37*s_isospec!$E5</f>
        <v>5.4689392849315051E-6</v>
      </c>
      <c r="Y37" s="74">
        <f t="shared" si="32"/>
        <v>5.4689392849315051E-6</v>
      </c>
      <c r="Z37" s="70">
        <f>Z$34*s_Aeq_Feq!$C5</f>
        <v>1.4528229872679561E-2</v>
      </c>
      <c r="AA37" s="71">
        <f>IFERROR(Z37*s_EFw*1*s_ETw*(1/24)*s_IRAw,".")</f>
        <v>4.9940790187335988</v>
      </c>
      <c r="AB37" s="72">
        <f>IFERROR(Z37*s_EFw*(1/365)*1*s_ETw*(1/24)*s_GSFa,".")</f>
        <v>9.1216055136686749E-4</v>
      </c>
      <c r="AC37" s="71">
        <f>IFERROR(AA37*s_isospec!$D5,".")</f>
        <v>0</v>
      </c>
      <c r="AD37" s="73">
        <f>IFERROR(AB37*s_isospec!$E5,".")</f>
        <v>3.972700354560636E-8</v>
      </c>
      <c r="AE37" s="74">
        <f t="shared" si="33"/>
        <v>3.972700354560636E-8</v>
      </c>
      <c r="AF37" s="70">
        <f>AF$34*s_Aeq_Feq!$C5</f>
        <v>1E-4</v>
      </c>
      <c r="AG37" s="71">
        <f>IFERROR(AF37*s_EFw*1*s_ETw*(1/24)*s_IRAw,".")</f>
        <v>3.4375000000000003E-2</v>
      </c>
      <c r="AH37" s="72">
        <f>IFERROR(AF37*s_EFw*(1/365)*1*s_ETw*(1/24)*s_GSFa,".")</f>
        <v>6.2785388127853883E-6</v>
      </c>
      <c r="AI37" s="71">
        <f>AG37*s_isospec!$D5</f>
        <v>0</v>
      </c>
      <c r="AJ37" s="73">
        <f>AH37*s_isospec!$E5</f>
        <v>2.7344696424657536E-10</v>
      </c>
      <c r="AK37" s="74">
        <f t="shared" si="34"/>
        <v>2.7344696424657536E-10</v>
      </c>
    </row>
    <row r="38" spans="1:37" x14ac:dyDescent="0.25">
      <c r="A38" s="57" t="str">
        <f>s_isospec!A6</f>
        <v>Rn-219~Po-215</v>
      </c>
      <c r="B38" s="70">
        <f>B$34*s_Aeq_Feq!$B6</f>
        <v>4983.5</v>
      </c>
      <c r="C38" s="71">
        <f t="shared" si="23"/>
        <v>499647.78645833331</v>
      </c>
      <c r="D38" s="72">
        <f t="shared" si="24"/>
        <v>312.89098173515981</v>
      </c>
      <c r="E38" s="71">
        <f>C38*s_isospec!$D6</f>
        <v>0</v>
      </c>
      <c r="F38" s="73">
        <f>D38*s_isospec!$E6</f>
        <v>2.8496619252863013E-4</v>
      </c>
      <c r="G38" s="74">
        <f t="shared" si="29"/>
        <v>2.8496619252863013E-4</v>
      </c>
      <c r="H38" s="70">
        <f>H$34*s_Aeq_Feq!$B6</f>
        <v>36.200716785249298</v>
      </c>
      <c r="I38" s="71">
        <f t="shared" si="25"/>
        <v>3629.4989485210881</v>
      </c>
      <c r="J38" s="72">
        <f t="shared" si="26"/>
        <v>2.2728760538683916</v>
      </c>
      <c r="K38" s="71">
        <f>IFERROR(I38*s_isospec!$D6,".")</f>
        <v>0</v>
      </c>
      <c r="L38" s="73">
        <f>IFERROR(J38*s_isospec!$E6,".")</f>
        <v>2.0700271754990994E-6</v>
      </c>
      <c r="M38" s="74">
        <f t="shared" si="30"/>
        <v>2.0700271754990994E-6</v>
      </c>
      <c r="N38" s="70">
        <f>N$34*s_Aeq_Feq!$B6</f>
        <v>0.24917500000000001</v>
      </c>
      <c r="O38" s="71">
        <f t="shared" si="27"/>
        <v>24.982389322916664</v>
      </c>
      <c r="P38" s="72">
        <f t="shared" si="28"/>
        <v>1.564454908675799E-2</v>
      </c>
      <c r="Q38" s="71">
        <f>O38*s_isospec!$D6</f>
        <v>0</v>
      </c>
      <c r="R38" s="73">
        <f>P38*s_isospec!$E6</f>
        <v>1.4248309626431507E-8</v>
      </c>
      <c r="S38" s="74">
        <f t="shared" si="31"/>
        <v>1.4248309626431507E-8</v>
      </c>
      <c r="T38" s="70">
        <f>T$34*s_Aeq_Feq!$C6</f>
        <v>4983.5</v>
      </c>
      <c r="U38" s="71">
        <f>IFERROR(T38*s_EFw*1*s_ETw*(1/24)*s_IRAw,".")</f>
        <v>1713078.125</v>
      </c>
      <c r="V38" s="72">
        <f>IFERROR(T38*s_EFw*(1/365)*1*s_ETw*(1/24)*s_GSFa,".")</f>
        <v>312.89098173515981</v>
      </c>
      <c r="W38" s="71">
        <f>U38*s_isospec!$D6</f>
        <v>0</v>
      </c>
      <c r="X38" s="73">
        <f>V38*s_isospec!$E6</f>
        <v>2.8496619252863013E-4</v>
      </c>
      <c r="Y38" s="74">
        <f t="shared" si="32"/>
        <v>2.8496619252863013E-4</v>
      </c>
      <c r="Z38" s="70">
        <f>Z$34*s_Aeq_Feq!$C6</f>
        <v>36.200716785249298</v>
      </c>
      <c r="AA38" s="71">
        <f>IFERROR(Z38*s_EFw*1*s_ETw*(1/24)*s_IRAw,".")</f>
        <v>12443.996394929447</v>
      </c>
      <c r="AB38" s="72">
        <f>IFERROR(Z38*s_EFw*(1/365)*1*s_ETw*(1/24)*s_GSFa,".")</f>
        <v>2.2728760538683916</v>
      </c>
      <c r="AC38" s="71">
        <f>IFERROR(AA38*s_isospec!$D6,".")</f>
        <v>0</v>
      </c>
      <c r="AD38" s="73">
        <f>IFERROR(AB38*s_isospec!$E6,".")</f>
        <v>2.0700271754990994E-6</v>
      </c>
      <c r="AE38" s="74">
        <f t="shared" si="33"/>
        <v>2.0700271754990994E-6</v>
      </c>
      <c r="AF38" s="70">
        <f>AF$34*s_Aeq_Feq!$C6</f>
        <v>0.24917500000000001</v>
      </c>
      <c r="AG38" s="71">
        <f>IFERROR(AF38*s_EFw*1*s_ETw*(1/24)*s_IRAw,".")</f>
        <v>85.653906249999977</v>
      </c>
      <c r="AH38" s="72">
        <f>IFERROR(AF38*s_EFw*(1/365)*1*s_ETw*(1/24)*s_GSFa,".")</f>
        <v>1.564454908675799E-2</v>
      </c>
      <c r="AI38" s="71">
        <f>AG38*s_isospec!$D6</f>
        <v>0</v>
      </c>
      <c r="AJ38" s="73">
        <f>AH38*s_isospec!$E6</f>
        <v>1.4248309626431507E-8</v>
      </c>
      <c r="AK38" s="74">
        <f t="shared" si="34"/>
        <v>1.4248309626431507E-8</v>
      </c>
    </row>
    <row r="39" spans="1:37" x14ac:dyDescent="0.25">
      <c r="A39" s="57" t="str">
        <f>s_isospec!A7</f>
        <v>Rn-219~Tl-207</v>
      </c>
      <c r="B39" s="70">
        <f>B$34*s_Aeq_Feq!$B7</f>
        <v>471.5</v>
      </c>
      <c r="C39" s="71">
        <f t="shared" si="23"/>
        <v>47272.786458333328</v>
      </c>
      <c r="D39" s="72">
        <f t="shared" si="24"/>
        <v>29.603310502283101</v>
      </c>
      <c r="E39" s="71">
        <f>C39*s_isospec!$D7</f>
        <v>0</v>
      </c>
      <c r="F39" s="73">
        <f>D39*s_isospec!$E7</f>
        <v>1.5934810273212326E-3</v>
      </c>
      <c r="G39" s="74">
        <f t="shared" si="29"/>
        <v>1.5934810273212326E-3</v>
      </c>
      <c r="H39" s="70">
        <f>H$34*s_Aeq_Feq!$B7</f>
        <v>3.4250301924842059</v>
      </c>
      <c r="I39" s="71">
        <f t="shared" si="25"/>
        <v>343.39495419437998</v>
      </c>
      <c r="J39" s="72">
        <f t="shared" si="26"/>
        <v>0.21504184998473896</v>
      </c>
      <c r="K39" s="71">
        <f>IFERROR(I39*s_isospec!$D7,".")</f>
        <v>0</v>
      </c>
      <c r="L39" s="73">
        <f>IFERROR(J39*s_isospec!$E7,".")</f>
        <v>1.1575229331338225E-5</v>
      </c>
      <c r="M39" s="74">
        <f t="shared" si="30"/>
        <v>1.1575229331338225E-5</v>
      </c>
      <c r="N39" s="70">
        <f>N$34*s_Aeq_Feq!$B7</f>
        <v>2.3574999999999999E-2</v>
      </c>
      <c r="O39" s="71">
        <f t="shared" si="27"/>
        <v>2.3636393229166663</v>
      </c>
      <c r="P39" s="72">
        <f t="shared" si="28"/>
        <v>1.4801655251141549E-3</v>
      </c>
      <c r="Q39" s="71">
        <f>O39*s_isospec!$D7</f>
        <v>0</v>
      </c>
      <c r="R39" s="73">
        <f>P39*s_isospec!$E7</f>
        <v>7.9674051366061636E-8</v>
      </c>
      <c r="S39" s="74">
        <f t="shared" si="31"/>
        <v>7.9674051366061636E-8</v>
      </c>
      <c r="T39" s="70">
        <f>T$34*s_Aeq_Feq!$C7</f>
        <v>471.5</v>
      </c>
      <c r="U39" s="71">
        <f>IFERROR(T39*s_EFw*1*s_ETw*(1/24)*s_IRAw,".")</f>
        <v>162078.12499999997</v>
      </c>
      <c r="V39" s="72">
        <f>IFERROR(T39*s_EFw*(1/365)*1*s_ETw*(1/24)*s_GSFa,".")</f>
        <v>29.603310502283101</v>
      </c>
      <c r="W39" s="71">
        <f>U39*s_isospec!$D7</f>
        <v>0</v>
      </c>
      <c r="X39" s="73">
        <f>V39*s_isospec!$E7</f>
        <v>1.5934810273212326E-3</v>
      </c>
      <c r="Y39" s="74">
        <f t="shared" si="32"/>
        <v>1.5934810273212326E-3</v>
      </c>
      <c r="Z39" s="70">
        <f>Z$34*s_Aeq_Feq!$C7</f>
        <v>3.4250301924842059</v>
      </c>
      <c r="AA39" s="71">
        <f>IFERROR(Z39*s_EFw*1*s_ETw*(1/24)*s_IRAw,".")</f>
        <v>1177.3541286664456</v>
      </c>
      <c r="AB39" s="72">
        <f>IFERROR(Z39*s_EFw*(1/365)*1*s_ETw*(1/24)*s_GSFa,".")</f>
        <v>0.21504184998473896</v>
      </c>
      <c r="AC39" s="71">
        <f>IFERROR(AA39*s_isospec!$D7,".")</f>
        <v>0</v>
      </c>
      <c r="AD39" s="73">
        <f>IFERROR(AB39*s_isospec!$E7,".")</f>
        <v>1.1575229331338225E-5</v>
      </c>
      <c r="AE39" s="74">
        <f t="shared" si="33"/>
        <v>1.1575229331338225E-5</v>
      </c>
      <c r="AF39" s="70">
        <f>AF$34*s_Aeq_Feq!$C7</f>
        <v>2.3574999999999999E-2</v>
      </c>
      <c r="AG39" s="71">
        <f>IFERROR(AF39*s_EFw*1*s_ETw*(1/24)*s_IRAw,".")</f>
        <v>8.1039062499999979</v>
      </c>
      <c r="AH39" s="72">
        <f>IFERROR(AF39*s_EFw*(1/365)*1*s_ETw*(1/24)*s_GSFa,".")</f>
        <v>1.4801655251141549E-3</v>
      </c>
      <c r="AI39" s="71">
        <f>AG39*s_isospec!$D7</f>
        <v>0</v>
      </c>
      <c r="AJ39" s="73">
        <f>AH39*s_isospec!$E7</f>
        <v>7.9674051366061636E-8</v>
      </c>
      <c r="AK39" s="74">
        <f t="shared" si="34"/>
        <v>7.9674051366061636E-8</v>
      </c>
    </row>
    <row r="40" spans="1:37" x14ac:dyDescent="0.25">
      <c r="A40" s="57" t="str">
        <f>s_isospec!A8</f>
        <v>Rn-220</v>
      </c>
      <c r="B40" s="102" t="s">
        <v>169</v>
      </c>
      <c r="C40" s="103" t="s">
        <v>179</v>
      </c>
      <c r="D40" s="104">
        <f>Cia_220*(s_Aeq_Feq!$E$8)</f>
        <v>1.0474586666666668E-3</v>
      </c>
      <c r="E40" s="67">
        <f>SUM(E41:E46)</f>
        <v>2.9746563802083328</v>
      </c>
      <c r="F40" s="68">
        <f>SUM(F41:F46)</f>
        <v>6.7112092100545884E-3</v>
      </c>
      <c r="G40" s="69">
        <f>SUM(E40:F40)</f>
        <v>2.9813675894183875</v>
      </c>
      <c r="H40" s="102" t="s">
        <v>169</v>
      </c>
      <c r="I40" s="103" t="s">
        <v>179</v>
      </c>
      <c r="J40" s="104">
        <f>(H41/1000)*(s_Aeq_Feq!$E$8)</f>
        <v>7.6088601457318846E-6</v>
      </c>
      <c r="K40" s="67">
        <f>SUM(K41:K46)</f>
        <v>2.1608245841949779E-2</v>
      </c>
      <c r="L40" s="68">
        <f>SUM(L41:L46)</f>
        <v>4.875099506365864E-5</v>
      </c>
      <c r="M40" s="69">
        <f>SUM(K40:L40)</f>
        <v>2.1656996837013439E-2</v>
      </c>
      <c r="N40" s="102" t="s">
        <v>169</v>
      </c>
      <c r="O40" s="103" t="s">
        <v>179</v>
      </c>
      <c r="P40" s="104">
        <f>(N41/1000)*(s_Aeq_Feq!$E$8)</f>
        <v>5.2372933333333336E-8</v>
      </c>
      <c r="Q40" s="67">
        <f>SUM(Q41:Q46)</f>
        <v>1.4873281901041667E-4</v>
      </c>
      <c r="R40" s="68">
        <f>SUM(R41:R46)</f>
        <v>3.3556046050272946E-7</v>
      </c>
      <c r="S40" s="69">
        <f>SUM(Q40:R40)</f>
        <v>1.490683794709194E-4</v>
      </c>
      <c r="T40" s="102" t="s">
        <v>169</v>
      </c>
      <c r="U40" s="103" t="s">
        <v>179</v>
      </c>
      <c r="V40" s="104">
        <f>Cia_222*(s_Aeq_Feq!$G$8)</f>
        <v>1.0474586666666668E-3</v>
      </c>
      <c r="W40" s="67">
        <f>SUM(W41:W46)</f>
        <v>10.198821875</v>
      </c>
      <c r="X40" s="68">
        <f>SUM(X41:X46)</f>
        <v>6.7112092100545884E-3</v>
      </c>
      <c r="Y40" s="69">
        <f>SUM(W40:X40)</f>
        <v>10.205533084210055</v>
      </c>
      <c r="Z40" s="102" t="s">
        <v>169</v>
      </c>
      <c r="AA40" s="103" t="s">
        <v>179</v>
      </c>
      <c r="AB40" s="104">
        <f>(Z41/1000)*(s_Aeq_Feq!$G$8)</f>
        <v>7.6088601457318846E-6</v>
      </c>
      <c r="AC40" s="67">
        <f>SUM(AC41:AC46)</f>
        <v>7.4085414315256365E-2</v>
      </c>
      <c r="AD40" s="68">
        <f>SUM(AD41:AD46)</f>
        <v>4.875099506365864E-5</v>
      </c>
      <c r="AE40" s="69">
        <f>SUM(AC40:AD40)</f>
        <v>7.4134165310320022E-2</v>
      </c>
      <c r="AF40" s="102" t="s">
        <v>169</v>
      </c>
      <c r="AG40" s="103" t="s">
        <v>179</v>
      </c>
      <c r="AH40" s="104">
        <f>(AF41/1000)*(s_Aeq_Feq!$G$8)</f>
        <v>5.2372933333333336E-8</v>
      </c>
      <c r="AI40" s="67">
        <f>SUM(AI41:AI46)</f>
        <v>5.0994109375000003E-4</v>
      </c>
      <c r="AJ40" s="68">
        <f>SUM(AJ41:AJ46)</f>
        <v>3.3556046050272946E-7</v>
      </c>
      <c r="AK40" s="69">
        <f>SUM(AI40:AJ40)</f>
        <v>5.1027665421050277E-4</v>
      </c>
    </row>
    <row r="41" spans="1:37" x14ac:dyDescent="0.25">
      <c r="A41" s="57" t="str">
        <f>s_isospec!A8</f>
        <v>Rn-220</v>
      </c>
      <c r="B41" s="75">
        <f>Cia_220*1000</f>
        <v>5000</v>
      </c>
      <c r="C41" s="71">
        <f t="shared" ref="C41:C46" si="35">IFERROR(B41*s_IFAres_adj_d,".")</f>
        <v>501302.08333333331</v>
      </c>
      <c r="D41" s="72">
        <f t="shared" ref="D41:D46" si="36">IFERROR(B41*s_EFres*(1/365)*1*s_ETres*(1/24)*s_GSFa,".")</f>
        <v>313.92694063926939</v>
      </c>
      <c r="E41" s="71">
        <f>C41*s_isospec!$D8</f>
        <v>0.41006510416666669</v>
      </c>
      <c r="F41" s="73">
        <f>D41*s_isospec!$E8</f>
        <v>1.0300080020547945E-3</v>
      </c>
      <c r="G41" s="74">
        <f t="shared" ref="G41:G46" si="37">SUM(E41:F41)</f>
        <v>0.41109511216872147</v>
      </c>
      <c r="H41" s="70">
        <f>IFERROR(Cia_220*(s_AFgw*1000*s_isospec!$M8),".")</f>
        <v>36.320574681698901</v>
      </c>
      <c r="I41" s="71">
        <f t="shared" ref="I41:I46" si="38">IFERROR(H41*s_IFAres_adj_d,".")</f>
        <v>3641.5159511599154</v>
      </c>
      <c r="J41" s="72">
        <f t="shared" ref="J41:J46" si="39">IFERROR(H41*s_EFres*(1/365)*1*s_ETres*(1/24)*s_GSFa,".")</f>
        <v>2.2804013784171682</v>
      </c>
      <c r="K41" s="71">
        <f>IFERROR(I41*s_isospec!$D8,".")</f>
        <v>2.978760048048811E-3</v>
      </c>
      <c r="L41" s="73">
        <f>IFERROR(J41*s_isospec!$E8,".")</f>
        <v>7.482096512275727E-6</v>
      </c>
      <c r="M41" s="74">
        <f t="shared" ref="M41:M46" si="40">SUM(K41:L41)</f>
        <v>2.9862421445610867E-3</v>
      </c>
      <c r="N41" s="70">
        <f>Cia_220*s_AFss</f>
        <v>0.25</v>
      </c>
      <c r="O41" s="71">
        <f t="shared" ref="O41:O46" si="41">IFERROR(N41*s_IFAres_adj_d,".")</f>
        <v>25.065104166666664</v>
      </c>
      <c r="P41" s="72">
        <f t="shared" ref="P41:P46" si="42">IFERROR(N41*s_EFres*(1/365)*1*s_ETres*(1/24)*s_GSFa,".")</f>
        <v>1.5696347031963466E-2</v>
      </c>
      <c r="Q41" s="71">
        <f>O41*s_isospec!$D8</f>
        <v>2.0503255208333331E-5</v>
      </c>
      <c r="R41" s="73">
        <f>P41*s_isospec!$E8</f>
        <v>5.150040010273971E-8</v>
      </c>
      <c r="S41" s="74">
        <f t="shared" ref="S41:S46" si="43">SUM(Q41:R41)</f>
        <v>2.055475560843607E-5</v>
      </c>
      <c r="T41" s="75">
        <f>Cia_220*1000</f>
        <v>5000</v>
      </c>
      <c r="U41" s="71">
        <f>IFERROR(T41*s_EFw*1*s_ETw*(1/24)*s_IRAw,".")</f>
        <v>1718750</v>
      </c>
      <c r="V41" s="72">
        <f>IFERROR(T41*s_EFw*(1/365)*1*s_ETw*(1/24)*s_GSFa,".")</f>
        <v>313.92694063926939</v>
      </c>
      <c r="W41" s="71">
        <f>U41*s_isospec!$D8</f>
        <v>1.4059375000000001</v>
      </c>
      <c r="X41" s="73">
        <f>V41*s_isospec!$E8</f>
        <v>1.0300080020547945E-3</v>
      </c>
      <c r="Y41" s="74">
        <f t="shared" ref="Y41:Y46" si="44">SUM(W41:X41)</f>
        <v>1.4069675080020549</v>
      </c>
      <c r="Z41" s="70">
        <f>IFERROR(Cia_220*(s_AFgw*1000*s_isospec!$M8),".")</f>
        <v>36.320574681698901</v>
      </c>
      <c r="AA41" s="71">
        <f>IFERROR(Z41*s_EFw*1*s_ETw*(1/24)*s_IRAw,".")</f>
        <v>12485.197546833997</v>
      </c>
      <c r="AB41" s="72">
        <f>IFERROR(Z41*s_EFw*(1/365)*1*s_ETw*(1/24)*s_GSFa,".")</f>
        <v>2.2804013784171682</v>
      </c>
      <c r="AC41" s="71">
        <f>IFERROR(AA41*s_isospec!$D8,".")</f>
        <v>1.021289159331021E-2</v>
      </c>
      <c r="AD41" s="73">
        <f>IFERROR(AB41*s_isospec!$E8,".")</f>
        <v>7.482096512275727E-6</v>
      </c>
      <c r="AE41" s="74">
        <f t="shared" ref="AE41:AE46" si="45">SUM(AC41:AD41)</f>
        <v>1.0220373689822485E-2</v>
      </c>
      <c r="AF41" s="70">
        <f>Cia_220*s_AFss</f>
        <v>0.25</v>
      </c>
      <c r="AG41" s="71">
        <f>IFERROR(AF41*s_EFw*1*s_ETw*(1/24)*s_IRAw,".")</f>
        <v>85.937499999999986</v>
      </c>
      <c r="AH41" s="72">
        <f>IFERROR(AF41*s_EFw*(1/365)*1*s_ETw*(1/24)*s_GSFa,".")</f>
        <v>1.5696347031963466E-2</v>
      </c>
      <c r="AI41" s="71">
        <f>AG41*s_isospec!$D8</f>
        <v>7.0296874999999993E-5</v>
      </c>
      <c r="AJ41" s="73">
        <f>AH41*s_isospec!$E8</f>
        <v>5.150040010273971E-8</v>
      </c>
      <c r="AK41" s="74">
        <f t="shared" ref="AK41:AK46" si="46">SUM(AI41:AJ41)</f>
        <v>7.0348375400102739E-5</v>
      </c>
    </row>
    <row r="42" spans="1:37" x14ac:dyDescent="0.25">
      <c r="A42" s="57" t="str">
        <f>s_isospec!A9</f>
        <v>Rn-220~Bi-212</v>
      </c>
      <c r="B42" s="70">
        <f>B$41*s_Aeq_Feq!$B9</f>
        <v>8</v>
      </c>
      <c r="C42" s="71">
        <f t="shared" si="35"/>
        <v>802.08333333333326</v>
      </c>
      <c r="D42" s="72">
        <f t="shared" si="36"/>
        <v>0.50228310502283091</v>
      </c>
      <c r="E42" s="71">
        <f>C42*s_isospec!$D9</f>
        <v>4.9007291666666661E-2</v>
      </c>
      <c r="F42" s="73">
        <f>D42*s_isospec!$E9</f>
        <v>3.0321089654794509E-4</v>
      </c>
      <c r="G42" s="74">
        <f t="shared" si="37"/>
        <v>4.9310502563214606E-2</v>
      </c>
      <c r="H42" s="70">
        <f>H$41*s_Aeq_Feq!$B9</f>
        <v>5.8112919490718243E-2</v>
      </c>
      <c r="I42" s="71">
        <f t="shared" si="38"/>
        <v>5.8264255218558647</v>
      </c>
      <c r="J42" s="72">
        <f t="shared" si="39"/>
        <v>3.64864220546747E-3</v>
      </c>
      <c r="K42" s="71">
        <f>IFERROR(I42*s_isospec!$D9,".")</f>
        <v>3.5599459938539331E-4</v>
      </c>
      <c r="L42" s="73">
        <f>IFERROR(J42*s_isospec!$E9,".")</f>
        <v>2.2025588024749048E-6</v>
      </c>
      <c r="M42" s="74">
        <f t="shared" si="40"/>
        <v>3.5819715818786823E-4</v>
      </c>
      <c r="N42" s="70">
        <f>N$41*s_Aeq_Feq!$B9</f>
        <v>4.0000000000000002E-4</v>
      </c>
      <c r="O42" s="71">
        <f t="shared" si="41"/>
        <v>4.0104166666666663E-2</v>
      </c>
      <c r="P42" s="72">
        <f t="shared" si="42"/>
        <v>2.5114155251141553E-5</v>
      </c>
      <c r="Q42" s="71">
        <f>O42*s_isospec!$D9</f>
        <v>2.4503645833333327E-6</v>
      </c>
      <c r="R42" s="73">
        <f>P42*s_isospec!$E9</f>
        <v>1.5160544827397261E-8</v>
      </c>
      <c r="S42" s="74">
        <f t="shared" si="43"/>
        <v>2.46552512816073E-6</v>
      </c>
      <c r="T42" s="70">
        <f>T$41*s_Aeq_Feq!$C9</f>
        <v>8</v>
      </c>
      <c r="U42" s="71">
        <f>IFERROR(T42*s_EFw*1*s_ETw*(1/24)*s_IRAw,".")</f>
        <v>2749.9999999999995</v>
      </c>
      <c r="V42" s="72">
        <f>IFERROR(T42*s_EFw*(1/365)*1*s_ETw*(1/24)*s_GSFa,".")</f>
        <v>0.50228310502283091</v>
      </c>
      <c r="W42" s="71">
        <f>U42*s_isospec!$D9</f>
        <v>0.16802499999999995</v>
      </c>
      <c r="X42" s="73">
        <f>V42*s_isospec!$E9</f>
        <v>3.0321089654794509E-4</v>
      </c>
      <c r="Y42" s="74">
        <f t="shared" si="44"/>
        <v>0.1683282108965479</v>
      </c>
      <c r="Z42" s="70">
        <f>Z$41*s_Aeq_Feq!$C9</f>
        <v>5.8112919490718243E-2</v>
      </c>
      <c r="AA42" s="71">
        <f>IFERROR(Z42*s_EFw*1*s_ETw*(1/24)*s_IRAw,".")</f>
        <v>19.976316074934395</v>
      </c>
      <c r="AB42" s="72">
        <f>IFERROR(Z42*s_EFw*(1/365)*1*s_ETw*(1/24)*s_GSFa,".")</f>
        <v>3.64864220546747E-3</v>
      </c>
      <c r="AC42" s="71">
        <f>IFERROR(AA42*s_isospec!$D9,".")</f>
        <v>1.2205529121784913E-3</v>
      </c>
      <c r="AD42" s="73">
        <f>IFERROR(AB42*s_isospec!$E9,".")</f>
        <v>2.2025588024749048E-6</v>
      </c>
      <c r="AE42" s="74">
        <f t="shared" si="45"/>
        <v>1.2227554709809663E-3</v>
      </c>
      <c r="AF42" s="70">
        <f>AF$41*s_Aeq_Feq!$C9</f>
        <v>4.0000000000000002E-4</v>
      </c>
      <c r="AG42" s="71">
        <f>IFERROR(AF42*s_EFw*1*s_ETw*(1/24)*s_IRAw,".")</f>
        <v>0.13750000000000001</v>
      </c>
      <c r="AH42" s="72">
        <f>IFERROR(AF42*s_EFw*(1/365)*1*s_ETw*(1/24)*s_GSFa,".")</f>
        <v>2.5114155251141553E-5</v>
      </c>
      <c r="AI42" s="71">
        <f>AG42*s_isospec!$D9</f>
        <v>8.4012500000000002E-6</v>
      </c>
      <c r="AJ42" s="73">
        <f>AH42*s_isospec!$E9</f>
        <v>1.5160544827397261E-8</v>
      </c>
      <c r="AK42" s="74">
        <f t="shared" si="46"/>
        <v>8.4164105448273976E-6</v>
      </c>
    </row>
    <row r="43" spans="1:37" x14ac:dyDescent="0.25">
      <c r="A43" s="57" t="str">
        <f>s_isospec!A10</f>
        <v>Rn-220~Pb-212</v>
      </c>
      <c r="B43" s="70">
        <f>B$41*s_Aeq_Feq!$B10</f>
        <v>64.5</v>
      </c>
      <c r="C43" s="71">
        <f t="shared" si="35"/>
        <v>6466.7968749999991</v>
      </c>
      <c r="D43" s="72">
        <f t="shared" si="36"/>
        <v>4.0496575342465757</v>
      </c>
      <c r="E43" s="71">
        <f>C43*s_isospec!$D10</f>
        <v>2.5155839843749996</v>
      </c>
      <c r="F43" s="73">
        <f>D43*s_isospec!$E10</f>
        <v>2.8891174631301372E-3</v>
      </c>
      <c r="G43" s="74">
        <f t="shared" si="37"/>
        <v>2.5184731018381297</v>
      </c>
      <c r="H43" s="70">
        <f>H$41*s_Aeq_Feq!$B10</f>
        <v>0.4685354133939158</v>
      </c>
      <c r="I43" s="71">
        <f t="shared" si="38"/>
        <v>46.975555769962909</v>
      </c>
      <c r="J43" s="72">
        <f t="shared" si="39"/>
        <v>2.9417177781581472E-2</v>
      </c>
      <c r="K43" s="71">
        <f>IFERROR(I43*s_isospec!$D10,".")</f>
        <v>1.8273491194515573E-2</v>
      </c>
      <c r="L43" s="73">
        <f>IFERROR(J43*s_isospec!$E10,".")</f>
        <v>2.0986881316763724E-5</v>
      </c>
      <c r="M43" s="74">
        <f t="shared" si="40"/>
        <v>1.8294478075832336E-2</v>
      </c>
      <c r="N43" s="70">
        <f>N$41*s_Aeq_Feq!$B10</f>
        <v>3.225E-3</v>
      </c>
      <c r="O43" s="71">
        <f t="shared" si="41"/>
        <v>0.32333984374999997</v>
      </c>
      <c r="P43" s="72">
        <f t="shared" si="42"/>
        <v>2.0248287671232877E-4</v>
      </c>
      <c r="Q43" s="71">
        <f>O43*s_isospec!$D10</f>
        <v>1.2577919921874999E-4</v>
      </c>
      <c r="R43" s="73">
        <f>P43*s_isospec!$E10</f>
        <v>1.4445587315650686E-7</v>
      </c>
      <c r="S43" s="74">
        <f t="shared" si="43"/>
        <v>1.2592365509190651E-4</v>
      </c>
      <c r="T43" s="70">
        <f>T$41*s_Aeq_Feq!$C10</f>
        <v>64.5</v>
      </c>
      <c r="U43" s="71">
        <f>IFERROR(T43*s_EFw*1*s_ETw*(1/24)*s_IRAw,".")</f>
        <v>22171.875</v>
      </c>
      <c r="V43" s="72">
        <f>IFERROR(T43*s_EFw*(1/365)*1*s_ETw*(1/24)*s_GSFa,".")</f>
        <v>4.0496575342465757</v>
      </c>
      <c r="W43" s="71">
        <f>U43*s_isospec!$D10</f>
        <v>8.6248593749999998</v>
      </c>
      <c r="X43" s="73">
        <f>V43*s_isospec!$E10</f>
        <v>2.8891174631301372E-3</v>
      </c>
      <c r="Y43" s="74">
        <f t="shared" si="44"/>
        <v>8.6277484924631302</v>
      </c>
      <c r="Z43" s="70">
        <f>Z$41*s_Aeq_Feq!$C10</f>
        <v>0.4685354133939158</v>
      </c>
      <c r="AA43" s="71">
        <f>IFERROR(Z43*s_EFw*1*s_ETw*(1/24)*s_IRAw,".")</f>
        <v>161.05904835415853</v>
      </c>
      <c r="AB43" s="72">
        <f>IFERROR(Z43*s_EFw*(1/365)*1*s_ETw*(1/24)*s_GSFa,".")</f>
        <v>2.9417177781581472E-2</v>
      </c>
      <c r="AC43" s="71">
        <f>IFERROR(AA43*s_isospec!$D10,".")</f>
        <v>6.2651969809767671E-2</v>
      </c>
      <c r="AD43" s="73">
        <f>IFERROR(AB43*s_isospec!$E10,".")</f>
        <v>2.0986881316763724E-5</v>
      </c>
      <c r="AE43" s="74">
        <f t="shared" si="45"/>
        <v>6.2672956691084442E-2</v>
      </c>
      <c r="AF43" s="70">
        <f>AF$41*s_Aeq_Feq!$C10</f>
        <v>3.225E-3</v>
      </c>
      <c r="AG43" s="71">
        <f>IFERROR(AF43*s_EFw*1*s_ETw*(1/24)*s_IRAw,".")</f>
        <v>1.10859375</v>
      </c>
      <c r="AH43" s="72">
        <f>IFERROR(AF43*s_EFw*(1/365)*1*s_ETw*(1/24)*s_GSFa,".")</f>
        <v>2.0248287671232877E-4</v>
      </c>
      <c r="AI43" s="71">
        <f>AG43*s_isospec!$D10</f>
        <v>4.3124296875000006E-4</v>
      </c>
      <c r="AJ43" s="73">
        <f>AH43*s_isospec!$E10</f>
        <v>1.4445587315650686E-7</v>
      </c>
      <c r="AK43" s="74">
        <f t="shared" si="46"/>
        <v>4.3138742462315655E-4</v>
      </c>
    </row>
    <row r="44" spans="1:37" x14ac:dyDescent="0.25">
      <c r="A44" s="57" t="str">
        <f>s_isospec!A11</f>
        <v>Rn-220~Po-212</v>
      </c>
      <c r="B44" s="70">
        <f>B$41*s_Aeq_Feq!$B11</f>
        <v>5</v>
      </c>
      <c r="C44" s="71">
        <f t="shared" si="35"/>
        <v>501.30208333333326</v>
      </c>
      <c r="D44" s="72">
        <f t="shared" si="36"/>
        <v>0.3139269406392694</v>
      </c>
      <c r="E44" s="71">
        <f>C44*s_isospec!$D11</f>
        <v>0</v>
      </c>
      <c r="F44" s="73">
        <f>D44*s_isospec!$E11</f>
        <v>0</v>
      </c>
      <c r="G44" s="74">
        <f t="shared" si="37"/>
        <v>0</v>
      </c>
      <c r="H44" s="70">
        <f>H$41*s_Aeq_Feq!$B11</f>
        <v>3.63205746816989E-2</v>
      </c>
      <c r="I44" s="71">
        <f t="shared" si="38"/>
        <v>3.6415159511599153</v>
      </c>
      <c r="J44" s="72">
        <f t="shared" si="39"/>
        <v>2.2804013784171683E-3</v>
      </c>
      <c r="K44" s="71">
        <f>IFERROR(I44*s_isospec!$D11,".")</f>
        <v>0</v>
      </c>
      <c r="L44" s="73">
        <f>IFERROR(J44*s_isospec!$E11,".")</f>
        <v>0</v>
      </c>
      <c r="M44" s="74">
        <f t="shared" si="40"/>
        <v>0</v>
      </c>
      <c r="N44" s="70">
        <f>N$41*s_Aeq_Feq!$B11</f>
        <v>2.5000000000000001E-4</v>
      </c>
      <c r="O44" s="71">
        <f t="shared" si="41"/>
        <v>2.5065104166666664E-2</v>
      </c>
      <c r="P44" s="72">
        <f t="shared" si="42"/>
        <v>1.5696347031963469E-5</v>
      </c>
      <c r="Q44" s="71">
        <f>O44*s_isospec!$D11</f>
        <v>0</v>
      </c>
      <c r="R44" s="73">
        <f>P44*s_isospec!$E11</f>
        <v>0</v>
      </c>
      <c r="S44" s="74">
        <f t="shared" si="43"/>
        <v>0</v>
      </c>
      <c r="T44" s="70">
        <f>T$41*s_Aeq_Feq!$C11</f>
        <v>5</v>
      </c>
      <c r="U44" s="71">
        <f>IFERROR(T44*s_EFw*1*s_ETw*(1/24)*s_IRAw,".")</f>
        <v>1718.75</v>
      </c>
      <c r="V44" s="72">
        <f>IFERROR(T44*s_EFw*(1/365)*1*s_ETw*(1/24)*s_GSFa,".")</f>
        <v>0.3139269406392694</v>
      </c>
      <c r="W44" s="71">
        <f>U44*s_isospec!$D11</f>
        <v>0</v>
      </c>
      <c r="X44" s="73">
        <f>V44*s_isospec!$E11</f>
        <v>0</v>
      </c>
      <c r="Y44" s="74">
        <f t="shared" si="44"/>
        <v>0</v>
      </c>
      <c r="Z44" s="70">
        <f>Z$41*s_Aeq_Feq!$C11</f>
        <v>3.63205746816989E-2</v>
      </c>
      <c r="AA44" s="71">
        <f>IFERROR(Z44*s_EFw*1*s_ETw*(1/24)*s_IRAw,".")</f>
        <v>12.485197546833996</v>
      </c>
      <c r="AB44" s="72">
        <f>IFERROR(Z44*s_EFw*(1/365)*1*s_ETw*(1/24)*s_GSFa,".")</f>
        <v>2.2804013784171683E-3</v>
      </c>
      <c r="AC44" s="71">
        <f>IFERROR(AA44*s_isospec!$D11,".")</f>
        <v>0</v>
      </c>
      <c r="AD44" s="73">
        <f>IFERROR(AB44*s_isospec!$E11,".")</f>
        <v>0</v>
      </c>
      <c r="AE44" s="74">
        <f t="shared" si="45"/>
        <v>0</v>
      </c>
      <c r="AF44" s="70">
        <f>AF$41*s_Aeq_Feq!$C11</f>
        <v>2.5000000000000001E-4</v>
      </c>
      <c r="AG44" s="71">
        <f>IFERROR(AF44*s_EFw*1*s_ETw*(1/24)*s_IRAw,".")</f>
        <v>8.59375E-2</v>
      </c>
      <c r="AH44" s="72">
        <f>IFERROR(AF44*s_EFw*(1/365)*1*s_ETw*(1/24)*s_GSFa,".")</f>
        <v>1.5696347031963469E-5</v>
      </c>
      <c r="AI44" s="71">
        <f>AG44*s_isospec!$D11</f>
        <v>0</v>
      </c>
      <c r="AJ44" s="73">
        <f>AH44*s_isospec!$E11</f>
        <v>0</v>
      </c>
      <c r="AK44" s="74">
        <f t="shared" si="46"/>
        <v>0</v>
      </c>
    </row>
    <row r="45" spans="1:37" x14ac:dyDescent="0.25">
      <c r="A45" s="57" t="str">
        <f>s_isospec!A12</f>
        <v>Rn-220~Po-216</v>
      </c>
      <c r="B45" s="70">
        <f>B$41*s_Aeq_Feq!$B12</f>
        <v>4998.5</v>
      </c>
      <c r="C45" s="71">
        <f t="shared" si="35"/>
        <v>501151.69270833331</v>
      </c>
      <c r="D45" s="72">
        <f t="shared" si="36"/>
        <v>313.83276255707756</v>
      </c>
      <c r="E45" s="71">
        <f>C45*s_isospec!$D12</f>
        <v>0</v>
      </c>
      <c r="F45" s="73">
        <f>D45*s_isospec!$E12</f>
        <v>2.5650864760068488E-5</v>
      </c>
      <c r="G45" s="74">
        <f t="shared" si="37"/>
        <v>2.5650864760068488E-5</v>
      </c>
      <c r="H45" s="70">
        <f>H$41*s_Aeq_Feq!$B12</f>
        <v>36.309678509294393</v>
      </c>
      <c r="I45" s="71">
        <f t="shared" si="38"/>
        <v>3640.4234963745675</v>
      </c>
      <c r="J45" s="72">
        <f t="shared" si="39"/>
        <v>2.2797172580036431</v>
      </c>
      <c r="K45" s="71">
        <f>IFERROR(I45*s_isospec!$D12,".")</f>
        <v>0</v>
      </c>
      <c r="L45" s="73">
        <f>IFERROR(J45*s_isospec!$E12,".")</f>
        <v>1.8633082983364524E-7</v>
      </c>
      <c r="M45" s="74">
        <f t="shared" si="40"/>
        <v>1.8633082983364524E-7</v>
      </c>
      <c r="N45" s="70">
        <f>N$41*s_Aeq_Feq!$B12</f>
        <v>0.24992500000000001</v>
      </c>
      <c r="O45" s="71">
        <f t="shared" si="41"/>
        <v>25.057584635416664</v>
      </c>
      <c r="P45" s="72">
        <f t="shared" si="42"/>
        <v>1.5691638127853881E-2</v>
      </c>
      <c r="Q45" s="71">
        <f>O45*s_isospec!$D12</f>
        <v>0</v>
      </c>
      <c r="R45" s="73">
        <f>P45*s_isospec!$E12</f>
        <v>1.2825432380034246E-9</v>
      </c>
      <c r="S45" s="74">
        <f t="shared" si="43"/>
        <v>1.2825432380034246E-9</v>
      </c>
      <c r="T45" s="70">
        <f>T$41*s_Aeq_Feq!$C12</f>
        <v>4998.5</v>
      </c>
      <c r="U45" s="71">
        <f>IFERROR(T45*s_EFw*1*s_ETw*(1/24)*s_IRAw,".")</f>
        <v>1718234.375</v>
      </c>
      <c r="V45" s="72">
        <f>IFERROR(T45*s_EFw*(1/365)*1*s_ETw*(1/24)*s_GSFa,".")</f>
        <v>313.83276255707756</v>
      </c>
      <c r="W45" s="71">
        <f>U45*s_isospec!$D12</f>
        <v>0</v>
      </c>
      <c r="X45" s="73">
        <f>V45*s_isospec!$E12</f>
        <v>2.5650864760068488E-5</v>
      </c>
      <c r="Y45" s="74">
        <f t="shared" si="44"/>
        <v>2.5650864760068488E-5</v>
      </c>
      <c r="Z45" s="70">
        <f>Z$41*s_Aeq_Feq!$C12</f>
        <v>36.309678509294393</v>
      </c>
      <c r="AA45" s="71">
        <f>IFERROR(Z45*s_EFw*1*s_ETw*(1/24)*s_IRAw,".")</f>
        <v>12481.451987569946</v>
      </c>
      <c r="AB45" s="72">
        <f>IFERROR(Z45*s_EFw*(1/365)*1*s_ETw*(1/24)*s_GSFa,".")</f>
        <v>2.2797172580036431</v>
      </c>
      <c r="AC45" s="71">
        <f>IFERROR(AA45*s_isospec!$D12,".")</f>
        <v>0</v>
      </c>
      <c r="AD45" s="73">
        <f>IFERROR(AB45*s_isospec!$E12,".")</f>
        <v>1.8633082983364524E-7</v>
      </c>
      <c r="AE45" s="74">
        <f t="shared" si="45"/>
        <v>1.8633082983364524E-7</v>
      </c>
      <c r="AF45" s="70">
        <f>AF$41*s_Aeq_Feq!$C12</f>
        <v>0.24992500000000001</v>
      </c>
      <c r="AG45" s="71">
        <f>IFERROR(AF45*s_EFw*1*s_ETw*(1/24)*s_IRAw,".")</f>
        <v>85.911718750000006</v>
      </c>
      <c r="AH45" s="72">
        <f>IFERROR(AF45*s_EFw*(1/365)*1*s_ETw*(1/24)*s_GSFa,".")</f>
        <v>1.5691638127853881E-2</v>
      </c>
      <c r="AI45" s="71">
        <f>AG45*s_isospec!$D12</f>
        <v>0</v>
      </c>
      <c r="AJ45" s="73">
        <f>AH45*s_isospec!$E12</f>
        <v>1.2825432380034246E-9</v>
      </c>
      <c r="AK45" s="74">
        <f t="shared" si="46"/>
        <v>1.2825432380034246E-9</v>
      </c>
    </row>
    <row r="46" spans="1:37" x14ac:dyDescent="0.25">
      <c r="A46" s="57" t="str">
        <f>s_isospec!A13</f>
        <v>Rn-220~Tl-208</v>
      </c>
      <c r="B46" s="70">
        <f>B$41*s_Aeq_Feq!$B13</f>
        <v>2</v>
      </c>
      <c r="C46" s="71">
        <f t="shared" si="35"/>
        <v>200.52083333333331</v>
      </c>
      <c r="D46" s="72">
        <f t="shared" si="36"/>
        <v>0.12557077625570773</v>
      </c>
      <c r="E46" s="71">
        <f>C46*s_isospec!$D13</f>
        <v>0</v>
      </c>
      <c r="F46" s="73">
        <f>D46*s_isospec!$E13</f>
        <v>2.4632219835616434E-3</v>
      </c>
      <c r="G46" s="74">
        <f t="shared" si="37"/>
        <v>2.4632219835616434E-3</v>
      </c>
      <c r="H46" s="70">
        <f>H$41*s_Aeq_Feq!$B13</f>
        <v>1.4528229872679561E-2</v>
      </c>
      <c r="I46" s="71">
        <f t="shared" si="38"/>
        <v>1.4566063804639662</v>
      </c>
      <c r="J46" s="72">
        <f t="shared" si="39"/>
        <v>9.1216055136686749E-4</v>
      </c>
      <c r="K46" s="71">
        <f>IFERROR(I46*s_isospec!$D13,".")</f>
        <v>0</v>
      </c>
      <c r="L46" s="73">
        <f>IFERROR(J46*s_isospec!$E13,".")</f>
        <v>1.7893127602310642E-5</v>
      </c>
      <c r="M46" s="74">
        <f t="shared" si="40"/>
        <v>1.7893127602310642E-5</v>
      </c>
      <c r="N46" s="70">
        <f>N$41*s_Aeq_Feq!$B13</f>
        <v>1E-4</v>
      </c>
      <c r="O46" s="71">
        <f t="shared" si="41"/>
        <v>1.0026041666666666E-2</v>
      </c>
      <c r="P46" s="72">
        <f t="shared" si="42"/>
        <v>6.2785388127853883E-6</v>
      </c>
      <c r="Q46" s="71">
        <f>O46*s_isospec!$D13</f>
        <v>0</v>
      </c>
      <c r="R46" s="73">
        <f>P46*s_isospec!$E13</f>
        <v>1.2316109917808221E-7</v>
      </c>
      <c r="S46" s="74">
        <f t="shared" si="43"/>
        <v>1.2316109917808221E-7</v>
      </c>
      <c r="T46" s="70">
        <f>T$41*s_Aeq_Feq!$C13</f>
        <v>2</v>
      </c>
      <c r="U46" s="71">
        <f>IFERROR(T46*s_EFw*1*s_ETw*(1/24)*s_IRAw,".")</f>
        <v>687.49999999999989</v>
      </c>
      <c r="V46" s="72">
        <f>IFERROR(T46*s_EFw*(1/365)*1*s_ETw*(1/24)*s_GSFa,".")</f>
        <v>0.12557077625570773</v>
      </c>
      <c r="W46" s="71">
        <f>U46*s_isospec!$D13</f>
        <v>0</v>
      </c>
      <c r="X46" s="73">
        <f>V46*s_isospec!$E13</f>
        <v>2.4632219835616434E-3</v>
      </c>
      <c r="Y46" s="74">
        <f t="shared" si="44"/>
        <v>2.4632219835616434E-3</v>
      </c>
      <c r="Z46" s="70">
        <f>Z$41*s_Aeq_Feq!$C13</f>
        <v>1.4528229872679561E-2</v>
      </c>
      <c r="AA46" s="71">
        <f>IFERROR(Z46*s_EFw*1*s_ETw*(1/24)*s_IRAw,".")</f>
        <v>4.9940790187335988</v>
      </c>
      <c r="AB46" s="72">
        <f>IFERROR(Z46*s_EFw*(1/365)*1*s_ETw*(1/24)*s_GSFa,".")</f>
        <v>9.1216055136686749E-4</v>
      </c>
      <c r="AC46" s="71">
        <f>IFERROR(AA46*s_isospec!$D13,".")</f>
        <v>0</v>
      </c>
      <c r="AD46" s="73">
        <f>IFERROR(AB46*s_isospec!$E13,".")</f>
        <v>1.7893127602310642E-5</v>
      </c>
      <c r="AE46" s="74">
        <f t="shared" si="45"/>
        <v>1.7893127602310642E-5</v>
      </c>
      <c r="AF46" s="70">
        <f>AF$41*s_Aeq_Feq!$C13</f>
        <v>1E-4</v>
      </c>
      <c r="AG46" s="71">
        <f>IFERROR(AF46*s_EFw*1*s_ETw*(1/24)*s_IRAw,".")</f>
        <v>3.4375000000000003E-2</v>
      </c>
      <c r="AH46" s="72">
        <f>IFERROR(AF46*s_EFw*(1/365)*1*s_ETw*(1/24)*s_GSFa,".")</f>
        <v>6.2785388127853883E-6</v>
      </c>
      <c r="AI46" s="71">
        <f>AG46*s_isospec!$D13</f>
        <v>0</v>
      </c>
      <c r="AJ46" s="73">
        <f>AH46*s_isospec!$E13</f>
        <v>1.2316109917808221E-7</v>
      </c>
      <c r="AK46" s="74">
        <f t="shared" si="46"/>
        <v>1.2316109917808221E-7</v>
      </c>
    </row>
    <row r="47" spans="1:37" x14ac:dyDescent="0.25">
      <c r="A47" s="57" t="str">
        <f>s_isospec!A14</f>
        <v>Rn-222</v>
      </c>
      <c r="B47" s="102" t="s">
        <v>169</v>
      </c>
      <c r="C47" s="103" t="s">
        <v>179</v>
      </c>
      <c r="D47" s="104">
        <f>Cia_222*(s_Aeq_Feq!$E$14)</f>
        <v>1.73966222E-2</v>
      </c>
      <c r="E47" s="67">
        <f>SUM(E48:E60)</f>
        <v>11.039724609374998</v>
      </c>
      <c r="F47" s="67">
        <f t="shared" ref="F47:G47" si="47">SUM(F48:F60)</f>
        <v>0.20372917382503536</v>
      </c>
      <c r="G47" s="67">
        <f t="shared" si="47"/>
        <v>11.243453783200035</v>
      </c>
      <c r="H47" s="102" t="s">
        <v>169</v>
      </c>
      <c r="I47" s="103" t="s">
        <v>179</v>
      </c>
      <c r="J47" s="104">
        <f>(H48/1000)*(s_Aeq_Feq!$E$14)</f>
        <v>1.5076043917789604E-4</v>
      </c>
      <c r="K47" s="67">
        <f t="shared" ref="K47:M47" si="48">SUM(K48:K60)</f>
        <v>9.5671085534777059E-2</v>
      </c>
      <c r="L47" s="67">
        <f t="shared" si="48"/>
        <v>1.7655323755442734E-3</v>
      </c>
      <c r="M47" s="67">
        <f t="shared" si="48"/>
        <v>9.7436617910321349E-2</v>
      </c>
      <c r="N47" s="102" t="s">
        <v>169</v>
      </c>
      <c r="O47" s="103" t="s">
        <v>179</v>
      </c>
      <c r="P47" s="104">
        <f>(N48/1000)*(s_Aeq_Feq!$E$14)</f>
        <v>8.6983111000000011E-7</v>
      </c>
      <c r="Q47" s="67">
        <f t="shared" ref="Q47:S47" si="49">SUM(Q48:Q60)</f>
        <v>5.5198623046874996E-4</v>
      </c>
      <c r="R47" s="67">
        <f t="shared" si="49"/>
        <v>1.0186458691251769E-5</v>
      </c>
      <c r="S47" s="67">
        <f t="shared" si="49"/>
        <v>5.6217268916000174E-4</v>
      </c>
      <c r="T47" s="102" t="s">
        <v>169</v>
      </c>
      <c r="U47" s="103" t="s">
        <v>179</v>
      </c>
      <c r="V47" s="104">
        <f>Cia_222*(s_Aeq_Feq!$G$14)</f>
        <v>1.73966222E-2</v>
      </c>
      <c r="W47" s="67">
        <f t="shared" ref="W47:Y47" si="50">SUM(W48:W60)</f>
        <v>37.850484374999994</v>
      </c>
      <c r="X47" s="68">
        <f t="shared" si="50"/>
        <v>0.20372917382503536</v>
      </c>
      <c r="Y47" s="69">
        <f t="shared" si="50"/>
        <v>38.054213548825032</v>
      </c>
      <c r="Z47" s="102" t="s">
        <v>169</v>
      </c>
      <c r="AA47" s="103" t="s">
        <v>179</v>
      </c>
      <c r="AB47" s="104">
        <f>(Z48/1000)*(s_Aeq_Feq!$G$14)</f>
        <v>1.5076043917789604E-4</v>
      </c>
      <c r="AC47" s="67">
        <f>SUM(AC48:AC60)</f>
        <v>0.32801515040495</v>
      </c>
      <c r="AD47" s="68">
        <f t="shared" ref="AD47:AE47" si="51">SUM(AD48:AD60)</f>
        <v>1.7655323755442734E-3</v>
      </c>
      <c r="AE47" s="69">
        <f t="shared" si="51"/>
        <v>0.32978068278049422</v>
      </c>
      <c r="AF47" s="103" t="s">
        <v>169</v>
      </c>
      <c r="AG47" s="103" t="s">
        <v>179</v>
      </c>
      <c r="AH47" s="104">
        <f>(AF48/1000)*(s_Aeq_Feq!$G$14)</f>
        <v>8.6983111000000011E-7</v>
      </c>
      <c r="AI47" s="67">
        <f t="shared" ref="AI47:AK47" si="52">SUM(AI48:AI60)</f>
        <v>1.8925242187499997E-3</v>
      </c>
      <c r="AJ47" s="68">
        <f t="shared" si="52"/>
        <v>1.0186458691251769E-5</v>
      </c>
      <c r="AK47" s="69">
        <f t="shared" si="52"/>
        <v>1.9027106774412517E-3</v>
      </c>
    </row>
    <row r="48" spans="1:37" x14ac:dyDescent="0.25">
      <c r="A48" s="23" t="str">
        <f>s_isospec!A14</f>
        <v>Rn-222</v>
      </c>
      <c r="B48" s="75">
        <f>Cia_222*1000</f>
        <v>5000</v>
      </c>
      <c r="C48" s="76">
        <f t="shared" ref="C48:C60" si="53">IFERROR(B48*s_IFAres_adj_d,".")</f>
        <v>501302.08333333331</v>
      </c>
      <c r="D48" s="77">
        <f t="shared" ref="D48:D60" si="54">IFERROR(B48*s_EFres*(1/365)*1*s_ETres*(1/24)*s_GSFa,".")</f>
        <v>313.92694063926939</v>
      </c>
      <c r="E48" s="76">
        <f>C48*s_isospec!$D14</f>
        <v>3.283528645833333</v>
      </c>
      <c r="F48" s="78">
        <f>D48*s_isospec!$E14</f>
        <v>6.3413304041095892E-4</v>
      </c>
      <c r="G48" s="74">
        <f>SUM(E48:F48)</f>
        <v>3.284162778873744</v>
      </c>
      <c r="H48" s="70">
        <f>IFERROR(Cia_222*(s_AFgw*1000*s_isospec!$M14),".")</f>
        <v>43.33037685266742</v>
      </c>
      <c r="I48" s="71">
        <f t="shared" ref="I48:I60" si="55">IFERROR(H48*s_IFAres_adj_d,".")</f>
        <v>4344.321637572124</v>
      </c>
      <c r="J48" s="72">
        <f t="shared" ref="J48:J60" si="56">IFERROR(H48*s_EFres*(1/365)*1*s_ETres*(1/24)*s_GSFa,".")</f>
        <v>2.7205145284208996</v>
      </c>
      <c r="K48" s="71">
        <f>IFERROR(I48*s_isospec!$D14,".")</f>
        <v>2.8455306726097411E-2</v>
      </c>
      <c r="L48" s="73">
        <f>IFERROR(J48*s_isospec!$E14,".")</f>
        <v>5.495444723146926E-6</v>
      </c>
      <c r="M48" s="74">
        <f t="shared" ref="M48:M60" si="57">SUM(K48:L48)</f>
        <v>2.8460802170820559E-2</v>
      </c>
      <c r="N48" s="70">
        <f>Cia_222*s_AFss</f>
        <v>0.25</v>
      </c>
      <c r="O48" s="71">
        <f t="shared" ref="O48:O60" si="58">IFERROR(N48*s_IFAres_adj_d,".")</f>
        <v>25.065104166666664</v>
      </c>
      <c r="P48" s="72">
        <f t="shared" ref="P48:P60" si="59">IFERROR(N48*s_EFres*(1/365)*1*s_ETres*(1/24)*s_GSFa,".")</f>
        <v>1.5696347031963466E-2</v>
      </c>
      <c r="Q48" s="71">
        <f>O48*s_isospec!$D14</f>
        <v>1.6417643229166664E-4</v>
      </c>
      <c r="R48" s="73">
        <f>P48*s_isospec!$E14</f>
        <v>3.1706652020547936E-8</v>
      </c>
      <c r="S48" s="74">
        <f t="shared" ref="S48:S60" si="60">SUM(Q48:R48)</f>
        <v>1.6420813894368717E-4</v>
      </c>
      <c r="T48" s="75">
        <f>Cia_222*1000</f>
        <v>5000</v>
      </c>
      <c r="U48" s="71">
        <f>IFERROR(T48*s_EFw*1*s_ETw*(1/24)*s_IRAw,".")</f>
        <v>1718750</v>
      </c>
      <c r="V48" s="72">
        <f>IFERROR(T48*s_EFw*(1/365)*1*s_ETw*(1/24)*s_GSFa,".")</f>
        <v>313.92694063926939</v>
      </c>
      <c r="W48" s="76">
        <f>U48*s_isospec!$D14</f>
        <v>11.2578125</v>
      </c>
      <c r="X48" s="78">
        <f>V48*s_isospec!$E14</f>
        <v>6.3413304041095892E-4</v>
      </c>
      <c r="Y48" s="74">
        <f>SUM(W48:X48)</f>
        <v>11.25844663304041</v>
      </c>
      <c r="Z48" s="70">
        <f>IFERROR(Cia_222*(s_AFgw*1000*s_isospec!$M14),".")</f>
        <v>43.33037685266742</v>
      </c>
      <c r="AA48" s="71">
        <f>IFERROR(Z48*s_EFw*1*s_ETw*(1/24)*s_IRAw,".")</f>
        <v>14894.817043104424</v>
      </c>
      <c r="AB48" s="72">
        <f>IFERROR(Z48*s_EFw*(1/365)*1*s_ETw*(1/24)*s_GSFa,".")</f>
        <v>2.7205145284208996</v>
      </c>
      <c r="AC48" s="71">
        <f>IFERROR(AA48*s_isospec!$D14,".")</f>
        <v>9.7561051632333973E-2</v>
      </c>
      <c r="AD48" s="73">
        <f>IFERROR(AB48*s_isospec!$E14,".")</f>
        <v>5.495444723146926E-6</v>
      </c>
      <c r="AE48" s="74">
        <f t="shared" ref="AE48:AE60" si="61">SUM(AC48:AD48)</f>
        <v>9.7566547077057114E-2</v>
      </c>
      <c r="AF48" s="70">
        <f>Cia_222*s_AFss</f>
        <v>0.25</v>
      </c>
      <c r="AG48" s="71">
        <f>IFERROR(AF48*s_EFw*1*s_ETw*(1/24)*s_IRAw,".")</f>
        <v>85.937499999999986</v>
      </c>
      <c r="AH48" s="72">
        <f>IFERROR(AF48*s_EFw*(1/365)*1*s_ETw*(1/24)*s_GSFa,".")</f>
        <v>1.5696347031963466E-2</v>
      </c>
      <c r="AI48" s="71">
        <f>AG48*s_isospec!$D14</f>
        <v>5.6289062499999991E-4</v>
      </c>
      <c r="AJ48" s="73">
        <f>AH48*s_isospec!$E14</f>
        <v>3.1706652020547936E-8</v>
      </c>
      <c r="AK48" s="74">
        <f t="shared" ref="AK48:AK60" si="62">SUM(AI48:AJ48)</f>
        <v>5.6292233165202051E-4</v>
      </c>
    </row>
    <row r="49" spans="1:37" x14ac:dyDescent="0.25">
      <c r="A49" s="23" t="str">
        <f>s_isospec!A15</f>
        <v>Rn-222~At-218</v>
      </c>
      <c r="B49" s="70">
        <f>B$48*s_Aeq_Feq!$B15</f>
        <v>0.72499999999999998</v>
      </c>
      <c r="C49" s="71">
        <f t="shared" si="53"/>
        <v>72.688802083333329</v>
      </c>
      <c r="D49" s="72">
        <f t="shared" si="54"/>
        <v>4.5519406392694063E-2</v>
      </c>
      <c r="E49" s="71">
        <f>C49*s_isospec!$D15</f>
        <v>0</v>
      </c>
      <c r="F49" s="73">
        <f>D49*s_isospec!$E15</f>
        <v>5.208688152739726E-9</v>
      </c>
      <c r="G49" s="74">
        <f t="shared" ref="G49:G60" si="63">SUM(E49:F49)</f>
        <v>5.208688152739726E-9</v>
      </c>
      <c r="H49" s="70">
        <f>H$48*s_Aeq_Feq!$B15</f>
        <v>6.2829046436367764E-3</v>
      </c>
      <c r="I49" s="71">
        <f t="shared" si="55"/>
        <v>0.62992663744795796</v>
      </c>
      <c r="J49" s="72">
        <f t="shared" si="56"/>
        <v>3.944746066210305E-4</v>
      </c>
      <c r="K49" s="71">
        <f>IFERROR(I49*s_isospec!$D15,".")</f>
        <v>0</v>
      </c>
      <c r="L49" s="73">
        <f>IFERROR(J49*s_isospec!$E15,".")</f>
        <v>4.5138884113247295E-11</v>
      </c>
      <c r="M49" s="74">
        <f t="shared" si="57"/>
        <v>4.5138884113247295E-11</v>
      </c>
      <c r="N49" s="70">
        <f>N$48*s_Aeq_Feq!$B15</f>
        <v>3.625E-5</v>
      </c>
      <c r="O49" s="71">
        <f t="shared" si="58"/>
        <v>3.6344401041666662E-3</v>
      </c>
      <c r="P49" s="72">
        <f t="shared" si="59"/>
        <v>2.2759703196347029E-6</v>
      </c>
      <c r="Q49" s="71">
        <f>O49*s_isospec!$D15</f>
        <v>0</v>
      </c>
      <c r="R49" s="73">
        <f>P49*s_isospec!$E15</f>
        <v>2.6043440763698625E-13</v>
      </c>
      <c r="S49" s="74">
        <f t="shared" si="60"/>
        <v>2.6043440763698625E-13</v>
      </c>
      <c r="T49" s="70">
        <f>T$48*s_Aeq_Feq!$C15</f>
        <v>0.72499999999999998</v>
      </c>
      <c r="U49" s="71">
        <f>IFERROR(T49*s_EFw*1*s_ETw*(1/24)*s_IRAw,".")</f>
        <v>249.21874999999997</v>
      </c>
      <c r="V49" s="72">
        <f>IFERROR(T49*s_EFw*(1/365)*1*s_ETw*(1/24)*s_GSFa,".")</f>
        <v>4.5519406392694063E-2</v>
      </c>
      <c r="W49" s="71">
        <f>U49*s_isospec!$D15</f>
        <v>0</v>
      </c>
      <c r="X49" s="73">
        <f>V49*s_isospec!$E15</f>
        <v>5.208688152739726E-9</v>
      </c>
      <c r="Y49" s="74">
        <f t="shared" ref="Y49:Y60" si="64">SUM(W49:X49)</f>
        <v>5.208688152739726E-9</v>
      </c>
      <c r="Z49" s="70">
        <f>Z$48*s_Aeq_Feq!$C15</f>
        <v>6.2829046436367764E-3</v>
      </c>
      <c r="AA49" s="71">
        <f>IFERROR(Z49*s_EFw*1*s_ETw*(1/24)*s_IRAw,".")</f>
        <v>2.159748471250142</v>
      </c>
      <c r="AB49" s="72">
        <f>IFERROR(Z49*s_EFw*(1/365)*1*s_ETw*(1/24)*s_GSFa,".")</f>
        <v>3.944746066210305E-4</v>
      </c>
      <c r="AC49" s="71">
        <f>IFERROR(AA49*s_isospec!$D15,".")</f>
        <v>0</v>
      </c>
      <c r="AD49" s="73">
        <f>IFERROR(AB49*s_isospec!$E15,".")</f>
        <v>4.5138884113247295E-11</v>
      </c>
      <c r="AE49" s="74">
        <f t="shared" si="61"/>
        <v>4.5138884113247295E-11</v>
      </c>
      <c r="AF49" s="70">
        <f>AF$48*s_Aeq_Feq!$C15</f>
        <v>3.625E-5</v>
      </c>
      <c r="AG49" s="71">
        <f>IFERROR(AF49*s_EFw*1*s_ETw*(1/24)*s_IRAw,".")</f>
        <v>1.2460937499999996E-2</v>
      </c>
      <c r="AH49" s="72">
        <f>IFERROR(AF49*s_EFw*(1/365)*1*s_ETw*(1/24)*s_GSFa,".")</f>
        <v>2.2759703196347029E-6</v>
      </c>
      <c r="AI49" s="71">
        <f>AG49*s_isospec!$D15</f>
        <v>0</v>
      </c>
      <c r="AJ49" s="73">
        <f>AH49*s_isospec!$E15</f>
        <v>2.6043440763698625E-13</v>
      </c>
      <c r="AK49" s="74">
        <f t="shared" si="62"/>
        <v>2.6043440763698625E-13</v>
      </c>
    </row>
    <row r="50" spans="1:37" x14ac:dyDescent="0.25">
      <c r="A50" s="23" t="str">
        <f>s_isospec!A16</f>
        <v>Rn-222~Bi-210</v>
      </c>
      <c r="B50" s="70">
        <f>B$48*s_Aeq_Feq!$B16</f>
        <v>0</v>
      </c>
      <c r="C50" s="71">
        <f t="shared" si="53"/>
        <v>0</v>
      </c>
      <c r="D50" s="72">
        <f t="shared" si="54"/>
        <v>0</v>
      </c>
      <c r="E50" s="71">
        <f>C50*s_isospec!$D16</f>
        <v>0</v>
      </c>
      <c r="F50" s="73">
        <f>D50*s_isospec!$E16</f>
        <v>0</v>
      </c>
      <c r="G50" s="74">
        <f t="shared" si="63"/>
        <v>0</v>
      </c>
      <c r="H50" s="70">
        <f>H$48*s_Aeq_Feq!$B16</f>
        <v>0</v>
      </c>
      <c r="I50" s="71">
        <f t="shared" si="55"/>
        <v>0</v>
      </c>
      <c r="J50" s="72">
        <f t="shared" si="56"/>
        <v>0</v>
      </c>
      <c r="K50" s="71">
        <f>IFERROR(I50*s_isospec!$D16,".")</f>
        <v>0</v>
      </c>
      <c r="L50" s="73">
        <f>IFERROR(J50*s_isospec!$E16,".")</f>
        <v>0</v>
      </c>
      <c r="M50" s="74">
        <f t="shared" si="57"/>
        <v>0</v>
      </c>
      <c r="N50" s="70">
        <f>N$48*s_Aeq_Feq!$B16</f>
        <v>0</v>
      </c>
      <c r="O50" s="71">
        <f t="shared" si="58"/>
        <v>0</v>
      </c>
      <c r="P50" s="72">
        <f t="shared" si="59"/>
        <v>0</v>
      </c>
      <c r="Q50" s="71">
        <f>O50*s_isospec!$D16</f>
        <v>0</v>
      </c>
      <c r="R50" s="73">
        <f>P50*s_isospec!$E16</f>
        <v>0</v>
      </c>
      <c r="S50" s="74">
        <f t="shared" si="60"/>
        <v>0</v>
      </c>
      <c r="T50" s="70">
        <f>T$48*s_Aeq_Feq!$C16</f>
        <v>0</v>
      </c>
      <c r="U50" s="71">
        <f>IFERROR(T50*s_EFw*1*s_ETw*(1/24)*s_IRAw,".")</f>
        <v>0</v>
      </c>
      <c r="V50" s="72">
        <f>IFERROR(T50*s_EFw*(1/365)*1*s_ETw*(1/24)*s_GSFa,".")</f>
        <v>0</v>
      </c>
      <c r="W50" s="71">
        <f>U50*s_isospec!$D16</f>
        <v>0</v>
      </c>
      <c r="X50" s="73">
        <f>V50*s_isospec!$E16</f>
        <v>0</v>
      </c>
      <c r="Y50" s="74">
        <f t="shared" si="64"/>
        <v>0</v>
      </c>
      <c r="Z50" s="70">
        <f>Z$48*s_Aeq_Feq!$C16</f>
        <v>0</v>
      </c>
      <c r="AA50" s="71">
        <f>IFERROR(Z50*s_EFw*1*s_ETw*(1/24)*s_IRAw,".")</f>
        <v>0</v>
      </c>
      <c r="AB50" s="72">
        <f>IFERROR(Z50*s_EFw*(1/365)*1*s_ETw*(1/24)*s_GSFa,".")</f>
        <v>0</v>
      </c>
      <c r="AC50" s="71">
        <f>IFERROR(AA50*s_isospec!$D16,".")</f>
        <v>0</v>
      </c>
      <c r="AD50" s="73">
        <f>IFERROR(AB50*s_isospec!$E16,".")</f>
        <v>0</v>
      </c>
      <c r="AE50" s="74">
        <f t="shared" si="61"/>
        <v>0</v>
      </c>
      <c r="AF50" s="70">
        <f>AF$48*s_Aeq_Feq!$C16</f>
        <v>0</v>
      </c>
      <c r="AG50" s="71">
        <f>IFERROR(AF50*s_EFw*1*s_ETw*(1/24)*s_IRAw,".")</f>
        <v>0</v>
      </c>
      <c r="AH50" s="72">
        <f>IFERROR(AF50*s_EFw*(1/365)*1*s_ETw*(1/24)*s_GSFa,".")</f>
        <v>0</v>
      </c>
      <c r="AI50" s="71">
        <f>AG50*s_isospec!$D16</f>
        <v>0</v>
      </c>
      <c r="AJ50" s="73">
        <f>AH50*s_isospec!$E16</f>
        <v>0</v>
      </c>
      <c r="AK50" s="74">
        <f t="shared" si="62"/>
        <v>0</v>
      </c>
    </row>
    <row r="51" spans="1:37" x14ac:dyDescent="0.25">
      <c r="A51" s="23" t="str">
        <f>s_isospec!A17</f>
        <v>Rn-222~Bi-214</v>
      </c>
      <c r="B51" s="70">
        <f>B$48*s_Aeq_Feq!$B17</f>
        <v>254.5</v>
      </c>
      <c r="C51" s="71">
        <f t="shared" si="53"/>
        <v>25516.276041666664</v>
      </c>
      <c r="D51" s="72">
        <f t="shared" si="54"/>
        <v>15.978881278538811</v>
      </c>
      <c r="E51" s="71">
        <f>C51*s_isospec!$D17</f>
        <v>0.93389570312499992</v>
      </c>
      <c r="F51" s="73">
        <f>D51*s_isospec!$E17</f>
        <v>0.13265440068883561</v>
      </c>
      <c r="G51" s="74">
        <f t="shared" si="63"/>
        <v>1.0665501038138356</v>
      </c>
      <c r="H51" s="70">
        <f>H$48*s_Aeq_Feq!$B17</f>
        <v>2.2055161818007716</v>
      </c>
      <c r="I51" s="71">
        <f t="shared" si="55"/>
        <v>221.12597135242109</v>
      </c>
      <c r="J51" s="72">
        <f t="shared" si="56"/>
        <v>0.13847418949662377</v>
      </c>
      <c r="K51" s="71">
        <f>IFERROR(I51*s_isospec!$D17,".")</f>
        <v>8.0932105514986124E-3</v>
      </c>
      <c r="L51" s="73">
        <f>IFERROR(J51*s_isospec!$E17,".")</f>
        <v>1.1495930346023982E-3</v>
      </c>
      <c r="M51" s="74">
        <f t="shared" si="57"/>
        <v>9.2428035861010106E-3</v>
      </c>
      <c r="N51" s="70">
        <f>N$48*s_Aeq_Feq!$B17</f>
        <v>1.2725E-2</v>
      </c>
      <c r="O51" s="71">
        <f t="shared" si="58"/>
        <v>1.2758138020833332</v>
      </c>
      <c r="P51" s="72">
        <f t="shared" si="59"/>
        <v>7.9894406392694056E-4</v>
      </c>
      <c r="Q51" s="71">
        <f>O51*s_isospec!$D17</f>
        <v>4.6694785156249997E-5</v>
      </c>
      <c r="R51" s="73">
        <f>P51*s_isospec!$E17</f>
        <v>6.6327200344417799E-6</v>
      </c>
      <c r="S51" s="74">
        <f t="shared" si="60"/>
        <v>5.3327505190691776E-5</v>
      </c>
      <c r="T51" s="70">
        <f>T$48*s_Aeq_Feq!$C17</f>
        <v>254.5</v>
      </c>
      <c r="U51" s="71">
        <f>IFERROR(T51*s_EFw*1*s_ETw*(1/24)*s_IRAw,".")</f>
        <v>87484.374999999985</v>
      </c>
      <c r="V51" s="72">
        <f>IFERROR(T51*s_EFw*(1/365)*1*s_ETw*(1/24)*s_GSFa,".")</f>
        <v>15.978881278538811</v>
      </c>
      <c r="W51" s="71">
        <f>U51*s_isospec!$D17</f>
        <v>3.2019281249999998</v>
      </c>
      <c r="X51" s="73">
        <f>V51*s_isospec!$E17</f>
        <v>0.13265440068883561</v>
      </c>
      <c r="Y51" s="74">
        <f t="shared" si="64"/>
        <v>3.3345825256888353</v>
      </c>
      <c r="Z51" s="70">
        <f>Z$48*s_Aeq_Feq!$C17</f>
        <v>2.2055161818007716</v>
      </c>
      <c r="AA51" s="71">
        <f>IFERROR(Z51*s_EFw*1*s_ETw*(1/24)*s_IRAw,".")</f>
        <v>758.14618749401507</v>
      </c>
      <c r="AB51" s="72">
        <f>IFERROR(Z51*s_EFw*(1/365)*1*s_ETw*(1/24)*s_GSFa,".")</f>
        <v>0.13847418949662377</v>
      </c>
      <c r="AC51" s="71">
        <f>IFERROR(AA51*s_isospec!$D17,".")</f>
        <v>2.7748150462280952E-2</v>
      </c>
      <c r="AD51" s="73">
        <f>IFERROR(AB51*s_isospec!$E17,".")</f>
        <v>1.1495930346023982E-3</v>
      </c>
      <c r="AE51" s="74">
        <f t="shared" si="61"/>
        <v>2.889774349688335E-2</v>
      </c>
      <c r="AF51" s="70">
        <f>AF$48*s_Aeq_Feq!$C17</f>
        <v>1.2725E-2</v>
      </c>
      <c r="AG51" s="71">
        <f>IFERROR(AF51*s_EFw*1*s_ETw*(1/24)*s_IRAw,".")</f>
        <v>4.3742187499999998</v>
      </c>
      <c r="AH51" s="72">
        <f>IFERROR(AF51*s_EFw*(1/365)*1*s_ETw*(1/24)*s_GSFa,".")</f>
        <v>7.9894406392694056E-4</v>
      </c>
      <c r="AI51" s="71">
        <f>AG51*s_isospec!$D17</f>
        <v>1.6009640625000001E-4</v>
      </c>
      <c r="AJ51" s="73">
        <f>AH51*s_isospec!$E17</f>
        <v>6.6327200344417799E-6</v>
      </c>
      <c r="AK51" s="74">
        <f t="shared" si="62"/>
        <v>1.6672912628444179E-4</v>
      </c>
    </row>
    <row r="52" spans="1:37" x14ac:dyDescent="0.25">
      <c r="A52" s="23" t="str">
        <f>s_isospec!A18</f>
        <v>Rn-222~Hg-206</v>
      </c>
      <c r="B52" s="70">
        <f>B$48*s_Aeq_Feq!$B18</f>
        <v>0</v>
      </c>
      <c r="C52" s="71">
        <f t="shared" si="53"/>
        <v>0</v>
      </c>
      <c r="D52" s="72">
        <f t="shared" si="54"/>
        <v>0</v>
      </c>
      <c r="E52" s="71">
        <f>C52*s_isospec!$D18</f>
        <v>0</v>
      </c>
      <c r="F52" s="73">
        <f>D52*s_isospec!$E18</f>
        <v>0</v>
      </c>
      <c r="G52" s="74">
        <f t="shared" si="63"/>
        <v>0</v>
      </c>
      <c r="H52" s="70">
        <f>H$48*s_Aeq_Feq!$B18</f>
        <v>0</v>
      </c>
      <c r="I52" s="71">
        <f t="shared" si="55"/>
        <v>0</v>
      </c>
      <c r="J52" s="72">
        <f t="shared" si="56"/>
        <v>0</v>
      </c>
      <c r="K52" s="71">
        <f>IFERROR(I52*s_isospec!$D18,".")</f>
        <v>0</v>
      </c>
      <c r="L52" s="73">
        <f>IFERROR(J52*s_isospec!$E18,".")</f>
        <v>0</v>
      </c>
      <c r="M52" s="74">
        <f t="shared" si="57"/>
        <v>0</v>
      </c>
      <c r="N52" s="70">
        <f>N$48*s_Aeq_Feq!$B18</f>
        <v>0</v>
      </c>
      <c r="O52" s="71">
        <f t="shared" si="58"/>
        <v>0</v>
      </c>
      <c r="P52" s="72">
        <f t="shared" si="59"/>
        <v>0</v>
      </c>
      <c r="Q52" s="71">
        <f>O52*s_isospec!$D18</f>
        <v>0</v>
      </c>
      <c r="R52" s="73">
        <f>P52*s_isospec!$E18</f>
        <v>0</v>
      </c>
      <c r="S52" s="74">
        <f t="shared" si="60"/>
        <v>0</v>
      </c>
      <c r="T52" s="70">
        <f>T$48*s_Aeq_Feq!$C18</f>
        <v>0</v>
      </c>
      <c r="U52" s="71">
        <f>IFERROR(T52*s_EFw*1*s_ETw*(1/24)*s_IRAw,".")</f>
        <v>0</v>
      </c>
      <c r="V52" s="72">
        <f>IFERROR(T52*s_EFw*(1/365)*1*s_ETw*(1/24)*s_GSFa,".")</f>
        <v>0</v>
      </c>
      <c r="W52" s="71">
        <f>U52*s_isospec!$D18</f>
        <v>0</v>
      </c>
      <c r="X52" s="73">
        <f>V52*s_isospec!$E18</f>
        <v>0</v>
      </c>
      <c r="Y52" s="74">
        <f t="shared" si="64"/>
        <v>0</v>
      </c>
      <c r="Z52" s="70">
        <f>Z$48*s_Aeq_Feq!$C18</f>
        <v>0</v>
      </c>
      <c r="AA52" s="71">
        <f>IFERROR(Z52*s_EFw*1*s_ETw*(1/24)*s_IRAw,".")</f>
        <v>0</v>
      </c>
      <c r="AB52" s="72">
        <f>IFERROR(Z52*s_EFw*(1/365)*1*s_ETw*(1/24)*s_GSFa,".")</f>
        <v>0</v>
      </c>
      <c r="AC52" s="71">
        <f>IFERROR(AA52*s_isospec!$D18,".")</f>
        <v>0</v>
      </c>
      <c r="AD52" s="73">
        <f>IFERROR(AB52*s_isospec!$E18,".")</f>
        <v>0</v>
      </c>
      <c r="AE52" s="74">
        <f t="shared" si="61"/>
        <v>0</v>
      </c>
      <c r="AF52" s="70">
        <f>AF$48*s_Aeq_Feq!$C18</f>
        <v>0</v>
      </c>
      <c r="AG52" s="71">
        <f>IFERROR(AF52*s_EFw*1*s_ETw*(1/24)*s_IRAw,".")</f>
        <v>0</v>
      </c>
      <c r="AH52" s="72">
        <f>IFERROR(AF52*s_EFw*(1/365)*1*s_ETw*(1/24)*s_GSFa,".")</f>
        <v>0</v>
      </c>
      <c r="AI52" s="71">
        <f>AG52*s_isospec!$D18</f>
        <v>0</v>
      </c>
      <c r="AJ52" s="73">
        <f>AH52*s_isospec!$E18</f>
        <v>0</v>
      </c>
      <c r="AK52" s="74">
        <f t="shared" si="62"/>
        <v>0</v>
      </c>
    </row>
    <row r="53" spans="1:37" x14ac:dyDescent="0.25">
      <c r="A53" s="23" t="str">
        <f>s_isospec!A19</f>
        <v>Rn-222~Pb-210</v>
      </c>
      <c r="B53" s="70">
        <f>B$48*s_Aeq_Feq!$B19</f>
        <v>0</v>
      </c>
      <c r="C53" s="71">
        <f t="shared" si="53"/>
        <v>0</v>
      </c>
      <c r="D53" s="72">
        <f t="shared" si="54"/>
        <v>0</v>
      </c>
      <c r="E53" s="71">
        <f>C53*s_isospec!$D19</f>
        <v>0</v>
      </c>
      <c r="F53" s="73">
        <f>D53*s_isospec!$E19</f>
        <v>0</v>
      </c>
      <c r="G53" s="74">
        <f t="shared" si="63"/>
        <v>0</v>
      </c>
      <c r="H53" s="70">
        <f>H$48*s_Aeq_Feq!$B19</f>
        <v>0</v>
      </c>
      <c r="I53" s="71">
        <f t="shared" si="55"/>
        <v>0</v>
      </c>
      <c r="J53" s="72">
        <f t="shared" si="56"/>
        <v>0</v>
      </c>
      <c r="K53" s="71">
        <f>IFERROR(I53*s_isospec!$D19,".")</f>
        <v>0</v>
      </c>
      <c r="L53" s="73">
        <f>IFERROR(J53*s_isospec!$E19,".")</f>
        <v>0</v>
      </c>
      <c r="M53" s="74">
        <f t="shared" si="57"/>
        <v>0</v>
      </c>
      <c r="N53" s="70">
        <f>N$48*s_Aeq_Feq!$B19</f>
        <v>0</v>
      </c>
      <c r="O53" s="71">
        <f t="shared" si="58"/>
        <v>0</v>
      </c>
      <c r="P53" s="72">
        <f t="shared" si="59"/>
        <v>0</v>
      </c>
      <c r="Q53" s="71">
        <f>O53*s_isospec!$D19</f>
        <v>0</v>
      </c>
      <c r="R53" s="73">
        <f>P53*s_isospec!$E19</f>
        <v>0</v>
      </c>
      <c r="S53" s="74">
        <f t="shared" si="60"/>
        <v>0</v>
      </c>
      <c r="T53" s="70">
        <f>T$48*s_Aeq_Feq!$C19</f>
        <v>0</v>
      </c>
      <c r="U53" s="71">
        <f>IFERROR(T53*s_EFw*1*s_ETw*(1/24)*s_IRAw,".")</f>
        <v>0</v>
      </c>
      <c r="V53" s="72">
        <f>IFERROR(T53*s_EFw*(1/365)*1*s_ETw*(1/24)*s_GSFa,".")</f>
        <v>0</v>
      </c>
      <c r="W53" s="71">
        <f>U53*s_isospec!$D19</f>
        <v>0</v>
      </c>
      <c r="X53" s="73">
        <f>V53*s_isospec!$E19</f>
        <v>0</v>
      </c>
      <c r="Y53" s="74">
        <f t="shared" si="64"/>
        <v>0</v>
      </c>
      <c r="Z53" s="70">
        <f>Z$48*s_Aeq_Feq!$C19</f>
        <v>0</v>
      </c>
      <c r="AA53" s="71">
        <f>IFERROR(Z53*s_EFw*1*s_ETw*(1/24)*s_IRAw,".")</f>
        <v>0</v>
      </c>
      <c r="AB53" s="72">
        <f>IFERROR(Z53*s_EFw*(1/365)*1*s_ETw*(1/24)*s_GSFa,".")</f>
        <v>0</v>
      </c>
      <c r="AC53" s="71">
        <f>IFERROR(AA53*s_isospec!$D19,".")</f>
        <v>0</v>
      </c>
      <c r="AD53" s="73">
        <f>IFERROR(AB53*s_isospec!$E19,".")</f>
        <v>0</v>
      </c>
      <c r="AE53" s="74">
        <f t="shared" si="61"/>
        <v>0</v>
      </c>
      <c r="AF53" s="70">
        <f>AF$48*s_Aeq_Feq!$C19</f>
        <v>0</v>
      </c>
      <c r="AG53" s="71">
        <f>IFERROR(AF53*s_EFw*1*s_ETw*(1/24)*s_IRAw,".")</f>
        <v>0</v>
      </c>
      <c r="AH53" s="72">
        <f>IFERROR(AF53*s_EFw*(1/365)*1*s_ETw*(1/24)*s_GSFa,".")</f>
        <v>0</v>
      </c>
      <c r="AI53" s="71">
        <f>AG53*s_isospec!$D19</f>
        <v>0</v>
      </c>
      <c r="AJ53" s="73">
        <f>AH53*s_isospec!$E19</f>
        <v>0</v>
      </c>
      <c r="AK53" s="74">
        <f t="shared" si="62"/>
        <v>0</v>
      </c>
    </row>
    <row r="54" spans="1:37" x14ac:dyDescent="0.25">
      <c r="A54" s="23" t="str">
        <f>s_isospec!A20</f>
        <v>Rn-222~Pb-214</v>
      </c>
      <c r="B54" s="70">
        <f>B$48*s_Aeq_Feq!$B20</f>
        <v>864.99999999999989</v>
      </c>
      <c r="C54" s="71">
        <f t="shared" si="53"/>
        <v>86725.260416666642</v>
      </c>
      <c r="D54" s="72">
        <f t="shared" si="54"/>
        <v>54.309360730593603</v>
      </c>
      <c r="E54" s="71">
        <f>C54*s_isospec!$D20</f>
        <v>4.0413971354166653</v>
      </c>
      <c r="F54" s="73">
        <f>D54*s_isospec!$E20</f>
        <v>7.0388767485616427E-2</v>
      </c>
      <c r="G54" s="74">
        <f t="shared" si="63"/>
        <v>4.1117859029022821</v>
      </c>
      <c r="H54" s="70">
        <f>H$48*s_Aeq_Feq!$B20</f>
        <v>7.4961551955114629</v>
      </c>
      <c r="I54" s="71">
        <f t="shared" si="55"/>
        <v>751.56764329997736</v>
      </c>
      <c r="J54" s="72">
        <f t="shared" si="56"/>
        <v>0.47064901341681564</v>
      </c>
      <c r="K54" s="71">
        <f>IFERROR(I54*s_isospec!$D20,".")</f>
        <v>3.5023052177778943E-2</v>
      </c>
      <c r="L54" s="73">
        <f>IFERROR(J54*s_isospec!$E20,".")</f>
        <v>6.0999436426930871E-4</v>
      </c>
      <c r="M54" s="74">
        <f t="shared" si="57"/>
        <v>3.5633046542048255E-2</v>
      </c>
      <c r="N54" s="70">
        <f>N$48*s_Aeq_Feq!$B20</f>
        <v>4.3249999999999997E-2</v>
      </c>
      <c r="O54" s="71">
        <f t="shared" si="58"/>
        <v>4.336263020833333</v>
      </c>
      <c r="P54" s="72">
        <f t="shared" si="59"/>
        <v>2.7154680365296799E-3</v>
      </c>
      <c r="Q54" s="71">
        <f>O54*s_isospec!$D20</f>
        <v>2.0206985677083332E-4</v>
      </c>
      <c r="R54" s="73">
        <f>P54*s_isospec!$E20</f>
        <v>3.5194383742808213E-6</v>
      </c>
      <c r="S54" s="74">
        <f t="shared" si="60"/>
        <v>2.0558929514511413E-4</v>
      </c>
      <c r="T54" s="70">
        <f>T$48*s_Aeq_Feq!$C20</f>
        <v>864.99999999999989</v>
      </c>
      <c r="U54" s="71">
        <f>IFERROR(T54*s_EFw*1*s_ETw*(1/24)*s_IRAw,".")</f>
        <v>297343.74999999994</v>
      </c>
      <c r="V54" s="72">
        <f>IFERROR(T54*s_EFw*(1/365)*1*s_ETw*(1/24)*s_GSFa,".")</f>
        <v>54.309360730593603</v>
      </c>
      <c r="W54" s="71">
        <f>U54*s_isospec!$D20</f>
        <v>13.856218749999998</v>
      </c>
      <c r="X54" s="73">
        <f>V54*s_isospec!$E20</f>
        <v>7.0388767485616427E-2</v>
      </c>
      <c r="Y54" s="74">
        <f t="shared" si="64"/>
        <v>13.926607517485614</v>
      </c>
      <c r="Z54" s="70">
        <f>Z$48*s_Aeq_Feq!$C20</f>
        <v>7.4961551955114629</v>
      </c>
      <c r="AA54" s="71">
        <f>IFERROR(Z54*s_EFw*1*s_ETw*(1/24)*s_IRAw,".")</f>
        <v>2576.8033484570656</v>
      </c>
      <c r="AB54" s="72">
        <f>IFERROR(Z54*s_EFw*(1/365)*1*s_ETw*(1/24)*s_GSFa,".")</f>
        <v>0.47064901341681564</v>
      </c>
      <c r="AC54" s="71">
        <f>IFERROR(AA54*s_isospec!$D20,".")</f>
        <v>0.12007903603809926</v>
      </c>
      <c r="AD54" s="73">
        <f>IFERROR(AB54*s_isospec!$E20,".")</f>
        <v>6.0999436426930871E-4</v>
      </c>
      <c r="AE54" s="74">
        <f t="shared" si="61"/>
        <v>0.12068903040236857</v>
      </c>
      <c r="AF54" s="70">
        <f>AF$48*s_Aeq_Feq!$C20</f>
        <v>4.3249999999999997E-2</v>
      </c>
      <c r="AG54" s="71">
        <f>IFERROR(AF54*s_EFw*1*s_ETw*(1/24)*s_IRAw,".")</f>
        <v>14.867187499999998</v>
      </c>
      <c r="AH54" s="72">
        <f>IFERROR(AF54*s_EFw*(1/365)*1*s_ETw*(1/24)*s_GSFa,".")</f>
        <v>2.7154680365296799E-3</v>
      </c>
      <c r="AI54" s="71">
        <f>AG54*s_isospec!$D20</f>
        <v>6.9281093749999992E-4</v>
      </c>
      <c r="AJ54" s="73">
        <f>AH54*s_isospec!$E20</f>
        <v>3.5194383742808213E-6</v>
      </c>
      <c r="AK54" s="74">
        <f t="shared" si="62"/>
        <v>6.963303758742807E-4</v>
      </c>
    </row>
    <row r="55" spans="1:37" x14ac:dyDescent="0.25">
      <c r="A55" s="23" t="str">
        <f>s_isospec!A21</f>
        <v>Rn-222~Po-210</v>
      </c>
      <c r="B55" s="70">
        <f>B$48*s_Aeq_Feq!$B21</f>
        <v>0</v>
      </c>
      <c r="C55" s="71">
        <f t="shared" si="53"/>
        <v>0</v>
      </c>
      <c r="D55" s="72">
        <f t="shared" si="54"/>
        <v>0</v>
      </c>
      <c r="E55" s="71">
        <f>C55*s_isospec!$D21</f>
        <v>0</v>
      </c>
      <c r="F55" s="73">
        <f>D55*s_isospec!$E21</f>
        <v>0</v>
      </c>
      <c r="G55" s="74">
        <f t="shared" si="63"/>
        <v>0</v>
      </c>
      <c r="H55" s="70">
        <f>H$48*s_Aeq_Feq!$B21</f>
        <v>0</v>
      </c>
      <c r="I55" s="71">
        <f t="shared" si="55"/>
        <v>0</v>
      </c>
      <c r="J55" s="72">
        <f t="shared" si="56"/>
        <v>0</v>
      </c>
      <c r="K55" s="71">
        <f>IFERROR(I55*s_isospec!$D21,".")</f>
        <v>0</v>
      </c>
      <c r="L55" s="73">
        <f>IFERROR(J55*s_isospec!$E21,".")</f>
        <v>0</v>
      </c>
      <c r="M55" s="74">
        <f t="shared" si="57"/>
        <v>0</v>
      </c>
      <c r="N55" s="70">
        <f>N$48*s_Aeq_Feq!$B21</f>
        <v>0</v>
      </c>
      <c r="O55" s="71">
        <f t="shared" si="58"/>
        <v>0</v>
      </c>
      <c r="P55" s="72">
        <f t="shared" si="59"/>
        <v>0</v>
      </c>
      <c r="Q55" s="71">
        <f>O55*s_isospec!$D21</f>
        <v>0</v>
      </c>
      <c r="R55" s="73">
        <f>P55*s_isospec!$E21</f>
        <v>0</v>
      </c>
      <c r="S55" s="74">
        <f t="shared" si="60"/>
        <v>0</v>
      </c>
      <c r="T55" s="70">
        <f>T$48*s_Aeq_Feq!$C21</f>
        <v>0</v>
      </c>
      <c r="U55" s="71">
        <f>IFERROR(T55*s_EFw*1*s_ETw*(1/24)*s_IRAw,".")</f>
        <v>0</v>
      </c>
      <c r="V55" s="72">
        <f>IFERROR(T55*s_EFw*(1/365)*1*s_ETw*(1/24)*s_GSFa,".")</f>
        <v>0</v>
      </c>
      <c r="W55" s="71">
        <f>U55*s_isospec!$D21</f>
        <v>0</v>
      </c>
      <c r="X55" s="73">
        <f>V55*s_isospec!$E21</f>
        <v>0</v>
      </c>
      <c r="Y55" s="74">
        <f t="shared" si="64"/>
        <v>0</v>
      </c>
      <c r="Z55" s="70">
        <f>Z$48*s_Aeq_Feq!$C21</f>
        <v>0</v>
      </c>
      <c r="AA55" s="71">
        <f>IFERROR(Z55*s_EFw*1*s_ETw*(1/24)*s_IRAw,".")</f>
        <v>0</v>
      </c>
      <c r="AB55" s="72">
        <f>IFERROR(Z55*s_EFw*(1/365)*1*s_ETw*(1/24)*s_GSFa,".")</f>
        <v>0</v>
      </c>
      <c r="AC55" s="71">
        <f>IFERROR(AA55*s_isospec!$D21,".")</f>
        <v>0</v>
      </c>
      <c r="AD55" s="73">
        <f>IFERROR(AB55*s_isospec!$E21,".")</f>
        <v>0</v>
      </c>
      <c r="AE55" s="74">
        <f t="shared" si="61"/>
        <v>0</v>
      </c>
      <c r="AF55" s="70">
        <f>AF$48*s_Aeq_Feq!$C21</f>
        <v>0</v>
      </c>
      <c r="AG55" s="71">
        <f>IFERROR(AF55*s_EFw*1*s_ETw*(1/24)*s_IRAw,".")</f>
        <v>0</v>
      </c>
      <c r="AH55" s="72">
        <f>IFERROR(AF55*s_EFw*(1/365)*1*s_ETw*(1/24)*s_GSFa,".")</f>
        <v>0</v>
      </c>
      <c r="AI55" s="71">
        <f>AG55*s_isospec!$D21</f>
        <v>0</v>
      </c>
      <c r="AJ55" s="73">
        <f>AH55*s_isospec!$E21</f>
        <v>0</v>
      </c>
      <c r="AK55" s="74">
        <f t="shared" si="62"/>
        <v>0</v>
      </c>
    </row>
    <row r="56" spans="1:37" x14ac:dyDescent="0.25">
      <c r="A56" s="23" t="str">
        <f>s_isospec!A22</f>
        <v>Rn-222~Po-214</v>
      </c>
      <c r="B56" s="70">
        <f>B$48*s_Aeq_Feq!$B22</f>
        <v>254.5</v>
      </c>
      <c r="C56" s="71">
        <f t="shared" si="53"/>
        <v>25516.276041666664</v>
      </c>
      <c r="D56" s="72">
        <f t="shared" si="54"/>
        <v>15.978881278538811</v>
      </c>
      <c r="E56" s="71">
        <f>C56*s_isospec!$D22</f>
        <v>0</v>
      </c>
      <c r="F56" s="73">
        <f>D56*s_isospec!$E22</f>
        <v>7.0898273223287658E-6</v>
      </c>
      <c r="G56" s="74">
        <f t="shared" si="63"/>
        <v>7.0898273223287658E-6</v>
      </c>
      <c r="H56" s="70">
        <f>H$48*s_Aeq_Feq!$B22</f>
        <v>2.2055161818007716</v>
      </c>
      <c r="I56" s="71">
        <f t="shared" si="55"/>
        <v>221.12597135242109</v>
      </c>
      <c r="J56" s="72">
        <f t="shared" si="56"/>
        <v>0.13847418949662377</v>
      </c>
      <c r="K56" s="71">
        <f>IFERROR(I56*s_isospec!$D22,".")</f>
        <v>0</v>
      </c>
      <c r="L56" s="73">
        <f>IFERROR(J56*s_isospec!$E22,".")</f>
        <v>6.1440977939368681E-8</v>
      </c>
      <c r="M56" s="74">
        <f t="shared" si="57"/>
        <v>6.1440977939368681E-8</v>
      </c>
      <c r="N56" s="70">
        <f>N$48*s_Aeq_Feq!$B22</f>
        <v>1.2725E-2</v>
      </c>
      <c r="O56" s="71">
        <f t="shared" si="58"/>
        <v>1.2758138020833332</v>
      </c>
      <c r="P56" s="72">
        <f t="shared" si="59"/>
        <v>7.9894406392694056E-4</v>
      </c>
      <c r="Q56" s="71">
        <f>O56*s_isospec!$D22</f>
        <v>0</v>
      </c>
      <c r="R56" s="73">
        <f>P56*s_isospec!$E22</f>
        <v>3.5449136611643829E-10</v>
      </c>
      <c r="S56" s="74">
        <f t="shared" si="60"/>
        <v>3.5449136611643829E-10</v>
      </c>
      <c r="T56" s="70">
        <f>T$48*s_Aeq_Feq!$C22</f>
        <v>254.5</v>
      </c>
      <c r="U56" s="71">
        <f>IFERROR(T56*s_EFw*1*s_ETw*(1/24)*s_IRAw,".")</f>
        <v>87484.374999999985</v>
      </c>
      <c r="V56" s="72">
        <f>IFERROR(T56*s_EFw*(1/365)*1*s_ETw*(1/24)*s_GSFa,".")</f>
        <v>15.978881278538811</v>
      </c>
      <c r="W56" s="71">
        <f>U56*s_isospec!$D22</f>
        <v>0</v>
      </c>
      <c r="X56" s="73">
        <f>V56*s_isospec!$E22</f>
        <v>7.0898273223287658E-6</v>
      </c>
      <c r="Y56" s="74">
        <f t="shared" si="64"/>
        <v>7.0898273223287658E-6</v>
      </c>
      <c r="Z56" s="70">
        <f>Z$48*s_Aeq_Feq!$C22</f>
        <v>2.2055161818007716</v>
      </c>
      <c r="AA56" s="71">
        <f>IFERROR(Z56*s_EFw*1*s_ETw*(1/24)*s_IRAw,".")</f>
        <v>758.14618749401507</v>
      </c>
      <c r="AB56" s="72">
        <f>IFERROR(Z56*s_EFw*(1/365)*1*s_ETw*(1/24)*s_GSFa,".")</f>
        <v>0.13847418949662377</v>
      </c>
      <c r="AC56" s="71">
        <f>IFERROR(AA56*s_isospec!$D22,".")</f>
        <v>0</v>
      </c>
      <c r="AD56" s="73">
        <f>IFERROR(AB56*s_isospec!$E22,".")</f>
        <v>6.1440977939368681E-8</v>
      </c>
      <c r="AE56" s="74">
        <f t="shared" si="61"/>
        <v>6.1440977939368681E-8</v>
      </c>
      <c r="AF56" s="70">
        <f>AF$48*s_Aeq_Feq!$C22</f>
        <v>1.2725E-2</v>
      </c>
      <c r="AG56" s="71">
        <f>IFERROR(AF56*s_EFw*1*s_ETw*(1/24)*s_IRAw,".")</f>
        <v>4.3742187499999998</v>
      </c>
      <c r="AH56" s="72">
        <f>IFERROR(AF56*s_EFw*(1/365)*1*s_ETw*(1/24)*s_GSFa,".")</f>
        <v>7.9894406392694056E-4</v>
      </c>
      <c r="AI56" s="71">
        <f>AG56*s_isospec!$D22</f>
        <v>0</v>
      </c>
      <c r="AJ56" s="73">
        <f>AH56*s_isospec!$E22</f>
        <v>3.5449136611643829E-10</v>
      </c>
      <c r="AK56" s="74">
        <f t="shared" si="62"/>
        <v>3.5449136611643829E-10</v>
      </c>
    </row>
    <row r="57" spans="1:37" x14ac:dyDescent="0.25">
      <c r="A57" s="23" t="str">
        <f>s_isospec!A23</f>
        <v>Rn-222~Po-218</v>
      </c>
      <c r="B57" s="70">
        <f>B$48*s_Aeq_Feq!$B23</f>
        <v>3640</v>
      </c>
      <c r="C57" s="71">
        <f t="shared" si="53"/>
        <v>364947.91666666663</v>
      </c>
      <c r="D57" s="72">
        <f t="shared" si="54"/>
        <v>228.53881278538813</v>
      </c>
      <c r="E57" s="71">
        <f>C57*s_isospec!$D23</f>
        <v>2.7809031249999996</v>
      </c>
      <c r="F57" s="73">
        <f>D57*s_isospec!$E23</f>
        <v>6.9914450633424663E-8</v>
      </c>
      <c r="G57" s="74">
        <f t="shared" si="63"/>
        <v>2.7809031949144503</v>
      </c>
      <c r="H57" s="70">
        <f>H$48*s_Aeq_Feq!$B23</f>
        <v>31.544514348741881</v>
      </c>
      <c r="I57" s="71">
        <f t="shared" si="55"/>
        <v>3162.6661521525061</v>
      </c>
      <c r="J57" s="72">
        <f t="shared" si="56"/>
        <v>1.9805345766904145</v>
      </c>
      <c r="K57" s="71">
        <f>IFERROR(I57*s_isospec!$D23,".")</f>
        <v>2.4099516079402097E-2</v>
      </c>
      <c r="L57" s="73">
        <f>IFERROR(J57*s_isospec!$E23,".")</f>
        <v>6.0588389867870045E-10</v>
      </c>
      <c r="M57" s="74">
        <f t="shared" si="57"/>
        <v>2.4099516685285996E-2</v>
      </c>
      <c r="N57" s="70">
        <f>N$48*s_Aeq_Feq!$B23</f>
        <v>0.182</v>
      </c>
      <c r="O57" s="71">
        <f t="shared" si="58"/>
        <v>18.247395833333332</v>
      </c>
      <c r="P57" s="72">
        <f t="shared" si="59"/>
        <v>1.1426940639269407E-2</v>
      </c>
      <c r="Q57" s="71">
        <f>O57*s_isospec!$D23</f>
        <v>1.3904515624999999E-4</v>
      </c>
      <c r="R57" s="73">
        <f>P57*s_isospec!$E23</f>
        <v>3.4957225316712333E-12</v>
      </c>
      <c r="S57" s="74">
        <f t="shared" si="60"/>
        <v>1.3904515974572253E-4</v>
      </c>
      <c r="T57" s="70">
        <f>T$48*s_Aeq_Feq!$C23</f>
        <v>3640</v>
      </c>
      <c r="U57" s="71">
        <f>IFERROR(T57*s_EFw*1*s_ETw*(1/24)*s_IRAw,".")</f>
        <v>1251249.9999999998</v>
      </c>
      <c r="V57" s="72">
        <f>IFERROR(T57*s_EFw*(1/365)*1*s_ETw*(1/24)*s_GSFa,".")</f>
        <v>228.53881278538813</v>
      </c>
      <c r="W57" s="71">
        <f>U57*s_isospec!$D23</f>
        <v>9.5345249999999986</v>
      </c>
      <c r="X57" s="73">
        <f>V57*s_isospec!$E23</f>
        <v>6.9914450633424663E-8</v>
      </c>
      <c r="Y57" s="74">
        <f t="shared" si="64"/>
        <v>9.5345250699144497</v>
      </c>
      <c r="Z57" s="70">
        <f>Z$48*s_Aeq_Feq!$C23</f>
        <v>31.544514348741881</v>
      </c>
      <c r="AA57" s="71">
        <f>IFERROR(Z57*s_EFw*1*s_ETw*(1/24)*s_IRAw,".")</f>
        <v>10843.426807380021</v>
      </c>
      <c r="AB57" s="72">
        <f>IFERROR(Z57*s_EFw*(1/365)*1*s_ETw*(1/24)*s_GSFa,".")</f>
        <v>1.9805345766904145</v>
      </c>
      <c r="AC57" s="71">
        <f>IFERROR(AA57*s_isospec!$D23,".")</f>
        <v>8.2626912272235759E-2</v>
      </c>
      <c r="AD57" s="73">
        <f>IFERROR(AB57*s_isospec!$E23,".")</f>
        <v>6.0588389867870045E-10</v>
      </c>
      <c r="AE57" s="74">
        <f t="shared" si="61"/>
        <v>8.2626912878119657E-2</v>
      </c>
      <c r="AF57" s="70">
        <f>AF$48*s_Aeq_Feq!$C23</f>
        <v>0.182</v>
      </c>
      <c r="AG57" s="71">
        <f>IFERROR(AF57*s_EFw*1*s_ETw*(1/24)*s_IRAw,".")</f>
        <v>62.562499999999986</v>
      </c>
      <c r="AH57" s="72">
        <f>IFERROR(AF57*s_EFw*(1/365)*1*s_ETw*(1/24)*s_GSFa,".")</f>
        <v>1.1426940639269407E-2</v>
      </c>
      <c r="AI57" s="71">
        <f>AG57*s_isospec!$D23</f>
        <v>4.7672624999999988E-4</v>
      </c>
      <c r="AJ57" s="73">
        <f>AH57*s_isospec!$E23</f>
        <v>3.4957225316712333E-12</v>
      </c>
      <c r="AK57" s="74">
        <f t="shared" si="62"/>
        <v>4.7672625349572242E-4</v>
      </c>
    </row>
    <row r="58" spans="1:37" x14ac:dyDescent="0.25">
      <c r="A58" s="23" t="str">
        <f>s_isospec!A24</f>
        <v>Rn-222~Rn-218</v>
      </c>
      <c r="B58" s="70">
        <f>B$48*s_Aeq_Feq!$B24</f>
        <v>7.2499999999999995E-4</v>
      </c>
      <c r="C58" s="71">
        <f t="shared" si="53"/>
        <v>7.2688802083333323E-2</v>
      </c>
      <c r="D58" s="72">
        <f t="shared" si="54"/>
        <v>4.5519406392694049E-5</v>
      </c>
      <c r="E58" s="71">
        <f>C58*s_isospec!$D24</f>
        <v>0</v>
      </c>
      <c r="F58" s="73">
        <f>D58*s_isospec!$E24</f>
        <v>1.807095889726027E-10</v>
      </c>
      <c r="G58" s="74">
        <f t="shared" si="63"/>
        <v>1.807095889726027E-10</v>
      </c>
      <c r="H58" s="70">
        <f>H$48*s_Aeq_Feq!$B24</f>
        <v>6.2829046436367753E-6</v>
      </c>
      <c r="I58" s="71">
        <f t="shared" si="55"/>
        <v>6.2992663744795786E-4</v>
      </c>
      <c r="J58" s="72">
        <f t="shared" si="56"/>
        <v>3.9447460662103041E-7</v>
      </c>
      <c r="K58" s="71">
        <f>IFERROR(I58*s_isospec!$D24,".")</f>
        <v>0</v>
      </c>
      <c r="L58" s="73">
        <f>IFERROR(J58*s_isospec!$E24,".")</f>
        <v>1.5660429182147018E-12</v>
      </c>
      <c r="M58" s="74">
        <f t="shared" si="57"/>
        <v>1.5660429182147018E-12</v>
      </c>
      <c r="N58" s="70">
        <f>N$48*s_Aeq_Feq!$B24</f>
        <v>3.6249999999999997E-8</v>
      </c>
      <c r="O58" s="71">
        <f t="shared" si="58"/>
        <v>3.6344401041666661E-6</v>
      </c>
      <c r="P58" s="72">
        <f t="shared" si="59"/>
        <v>2.2759703196347031E-9</v>
      </c>
      <c r="Q58" s="71">
        <f>O58*s_isospec!$D24</f>
        <v>0</v>
      </c>
      <c r="R58" s="73">
        <f>P58*s_isospec!$E24</f>
        <v>9.0354794486301367E-15</v>
      </c>
      <c r="S58" s="74">
        <f t="shared" si="60"/>
        <v>9.0354794486301367E-15</v>
      </c>
      <c r="T58" s="70">
        <f>T$48*s_Aeq_Feq!$C24</f>
        <v>7.2499999999999995E-4</v>
      </c>
      <c r="U58" s="71">
        <f>IFERROR(T58*s_EFw*1*s_ETw*(1/24)*s_IRAw,".")</f>
        <v>0.24921874999999993</v>
      </c>
      <c r="V58" s="72">
        <f>IFERROR(T58*s_EFw*(1/365)*1*s_ETw*(1/24)*s_GSFa,".")</f>
        <v>4.5519406392694049E-5</v>
      </c>
      <c r="W58" s="71">
        <f>U58*s_isospec!$D24</f>
        <v>0</v>
      </c>
      <c r="X58" s="73">
        <f>V58*s_isospec!$E24</f>
        <v>1.807095889726027E-10</v>
      </c>
      <c r="Y58" s="74">
        <f t="shared" si="64"/>
        <v>1.807095889726027E-10</v>
      </c>
      <c r="Z58" s="70">
        <f>Z$48*s_Aeq_Feq!$C24</f>
        <v>6.2829046436367753E-6</v>
      </c>
      <c r="AA58" s="71">
        <f>IFERROR(Z58*s_EFw*1*s_ETw*(1/24)*s_IRAw,".")</f>
        <v>2.1597484712501413E-3</v>
      </c>
      <c r="AB58" s="72">
        <f>IFERROR(Z58*s_EFw*(1/365)*1*s_ETw*(1/24)*s_GSFa,".")</f>
        <v>3.9447460662103041E-7</v>
      </c>
      <c r="AC58" s="71">
        <f>IFERROR(AA58*s_isospec!$D24,".")</f>
        <v>0</v>
      </c>
      <c r="AD58" s="73">
        <f>IFERROR(AB58*s_isospec!$E24,".")</f>
        <v>1.5660429182147018E-12</v>
      </c>
      <c r="AE58" s="74">
        <f t="shared" si="61"/>
        <v>1.5660429182147018E-12</v>
      </c>
      <c r="AF58" s="70">
        <f>AF$48*s_Aeq_Feq!$C24</f>
        <v>3.6249999999999997E-8</v>
      </c>
      <c r="AG58" s="71">
        <f>IFERROR(AF58*s_EFw*1*s_ETw*(1/24)*s_IRAw,".")</f>
        <v>1.2460937499999997E-5</v>
      </c>
      <c r="AH58" s="72">
        <f>IFERROR(AF58*s_EFw*(1/365)*1*s_ETw*(1/24)*s_GSFa,".")</f>
        <v>2.2759703196347031E-9</v>
      </c>
      <c r="AI58" s="71">
        <f>AG58*s_isospec!$D24</f>
        <v>0</v>
      </c>
      <c r="AJ58" s="73">
        <f>AH58*s_isospec!$E24</f>
        <v>9.0354794486301367E-15</v>
      </c>
      <c r="AK58" s="74">
        <f t="shared" si="62"/>
        <v>9.0354794486301367E-15</v>
      </c>
    </row>
    <row r="59" spans="1:37" x14ac:dyDescent="0.25">
      <c r="A59" s="23" t="str">
        <f>s_isospec!A25</f>
        <v>Rn-222~Tl-206</v>
      </c>
      <c r="B59" s="70">
        <f>B$48*s_Aeq_Feq!$B25</f>
        <v>0</v>
      </c>
      <c r="C59" s="71">
        <f t="shared" si="53"/>
        <v>0</v>
      </c>
      <c r="D59" s="72">
        <f t="shared" si="54"/>
        <v>0</v>
      </c>
      <c r="E59" s="71">
        <f>C59*s_isospec!$D25</f>
        <v>0</v>
      </c>
      <c r="F59" s="73">
        <f>D59*s_isospec!$E25</f>
        <v>0</v>
      </c>
      <c r="G59" s="74">
        <f t="shared" si="63"/>
        <v>0</v>
      </c>
      <c r="H59" s="70">
        <f>H$48*s_Aeq_Feq!$B25</f>
        <v>0</v>
      </c>
      <c r="I59" s="71">
        <f t="shared" si="55"/>
        <v>0</v>
      </c>
      <c r="J59" s="72">
        <f t="shared" si="56"/>
        <v>0</v>
      </c>
      <c r="K59" s="71">
        <f>IFERROR(I59*s_isospec!$D25,".")</f>
        <v>0</v>
      </c>
      <c r="L59" s="73">
        <f>IFERROR(J59*s_isospec!$E25,".")</f>
        <v>0</v>
      </c>
      <c r="M59" s="74">
        <f t="shared" si="57"/>
        <v>0</v>
      </c>
      <c r="N59" s="70">
        <f>N$48*s_Aeq_Feq!$B25</f>
        <v>0</v>
      </c>
      <c r="O59" s="71">
        <f t="shared" si="58"/>
        <v>0</v>
      </c>
      <c r="P59" s="72">
        <f t="shared" si="59"/>
        <v>0</v>
      </c>
      <c r="Q59" s="71">
        <f>O59*s_isospec!$D25</f>
        <v>0</v>
      </c>
      <c r="R59" s="73">
        <f>P59*s_isospec!$E25</f>
        <v>0</v>
      </c>
      <c r="S59" s="74">
        <f t="shared" si="60"/>
        <v>0</v>
      </c>
      <c r="T59" s="70">
        <f>T$48*s_Aeq_Feq!$C25</f>
        <v>0</v>
      </c>
      <c r="U59" s="71">
        <f>IFERROR(T59*s_EFw*1*s_ETw*(1/24)*s_IRAw,".")</f>
        <v>0</v>
      </c>
      <c r="V59" s="72">
        <f>IFERROR(T59*s_EFw*(1/365)*1*s_ETw*(1/24)*s_GSFa,".")</f>
        <v>0</v>
      </c>
      <c r="W59" s="71">
        <f>U59*s_isospec!$D25</f>
        <v>0</v>
      </c>
      <c r="X59" s="73">
        <f>V59*s_isospec!$E25</f>
        <v>0</v>
      </c>
      <c r="Y59" s="74">
        <f t="shared" si="64"/>
        <v>0</v>
      </c>
      <c r="Z59" s="70">
        <f>Z$48*s_Aeq_Feq!$C25</f>
        <v>0</v>
      </c>
      <c r="AA59" s="71">
        <f>IFERROR(Z59*s_EFw*1*s_ETw*(1/24)*s_IRAw,".")</f>
        <v>0</v>
      </c>
      <c r="AB59" s="72">
        <f>IFERROR(Z59*s_EFw*(1/365)*1*s_ETw*(1/24)*s_GSFa,".")</f>
        <v>0</v>
      </c>
      <c r="AC59" s="71">
        <f>IFERROR(AA59*s_isospec!$D25,".")</f>
        <v>0</v>
      </c>
      <c r="AD59" s="73">
        <f>IFERROR(AB59*s_isospec!$E25,".")</f>
        <v>0</v>
      </c>
      <c r="AE59" s="74">
        <f t="shared" si="61"/>
        <v>0</v>
      </c>
      <c r="AF59" s="70">
        <f>AF$48*s_Aeq_Feq!$C25</f>
        <v>0</v>
      </c>
      <c r="AG59" s="71">
        <f>IFERROR(AF59*s_EFw*1*s_ETw*(1/24)*s_IRAw,".")</f>
        <v>0</v>
      </c>
      <c r="AH59" s="72">
        <f>IFERROR(AF59*s_EFw*(1/365)*1*s_ETw*(1/24)*s_GSFa,".")</f>
        <v>0</v>
      </c>
      <c r="AI59" s="71">
        <f>AG59*s_isospec!$D25</f>
        <v>0</v>
      </c>
      <c r="AJ59" s="73">
        <f>AH59*s_isospec!$E25</f>
        <v>0</v>
      </c>
      <c r="AK59" s="74">
        <f t="shared" si="62"/>
        <v>0</v>
      </c>
    </row>
    <row r="60" spans="1:37" ht="15.75" thickBot="1" x14ac:dyDescent="0.3">
      <c r="A60" s="23" t="str">
        <f>s_isospec!A26</f>
        <v>Rn-222~Tl-210</v>
      </c>
      <c r="B60" s="79">
        <f>B$48*s_Aeq_Feq!$B26</f>
        <v>4.6199999999999998E-2</v>
      </c>
      <c r="C60" s="80">
        <f t="shared" si="53"/>
        <v>4.6320312499999989</v>
      </c>
      <c r="D60" s="81">
        <f t="shared" si="54"/>
        <v>2.9006849315068488E-3</v>
      </c>
      <c r="E60" s="80">
        <f>C60*s_isospec!$D26</f>
        <v>0</v>
      </c>
      <c r="F60" s="82">
        <f>D60*s_isospec!$E26</f>
        <v>4.4707479001643828E-5</v>
      </c>
      <c r="G60" s="83">
        <f t="shared" si="63"/>
        <v>4.4707479001643828E-5</v>
      </c>
      <c r="H60" s="79">
        <f>H$48*s_Aeq_Feq!$B26</f>
        <v>4.0037268211864696E-4</v>
      </c>
      <c r="I60" s="80">
        <f t="shared" si="55"/>
        <v>4.0141531931166423E-2</v>
      </c>
      <c r="J60" s="81">
        <f t="shared" si="56"/>
        <v>2.513755424260911E-5</v>
      </c>
      <c r="K60" s="80">
        <f>IFERROR(I60*s_isospec!$D26,".")</f>
        <v>0</v>
      </c>
      <c r="L60" s="82">
        <f>IFERROR(J60*s_isospec!$E26,".")</f>
        <v>3.8743838265478854E-7</v>
      </c>
      <c r="M60" s="83">
        <f t="shared" si="57"/>
        <v>3.8743838265478854E-7</v>
      </c>
      <c r="N60" s="79">
        <f>N$48*s_Aeq_Feq!$B26</f>
        <v>2.3099999999999999E-6</v>
      </c>
      <c r="O60" s="80">
        <f t="shared" si="58"/>
        <v>2.3160156249999996E-4</v>
      </c>
      <c r="P60" s="81">
        <f t="shared" si="59"/>
        <v>1.4503424657534244E-7</v>
      </c>
      <c r="Q60" s="80">
        <f>O60*s_isospec!$D26</f>
        <v>0</v>
      </c>
      <c r="R60" s="82">
        <f>P60*s_isospec!$E26</f>
        <v>2.2353739500821915E-9</v>
      </c>
      <c r="S60" s="83">
        <f t="shared" si="60"/>
        <v>2.2353739500821915E-9</v>
      </c>
      <c r="T60" s="79">
        <f>T$48*s_Aeq_Feq!$C26</f>
        <v>4.6199999999999998E-2</v>
      </c>
      <c r="U60" s="80">
        <f>IFERROR(T60*s_EFw*1*s_ETw*(1/24)*s_IRAw,".")</f>
        <v>15.881249999999998</v>
      </c>
      <c r="V60" s="81">
        <f>IFERROR(T60*s_EFw*(1/365)*1*s_ETw*(1/24)*s_GSFa,".")</f>
        <v>2.9006849315068488E-3</v>
      </c>
      <c r="W60" s="80">
        <f>U60*s_isospec!$D26</f>
        <v>0</v>
      </c>
      <c r="X60" s="82">
        <f>V60*s_isospec!$E26</f>
        <v>4.4707479001643828E-5</v>
      </c>
      <c r="Y60" s="83">
        <f t="shared" si="64"/>
        <v>4.4707479001643828E-5</v>
      </c>
      <c r="Z60" s="79">
        <f>Z$48*s_Aeq_Feq!$C26</f>
        <v>4.0037268211864696E-4</v>
      </c>
      <c r="AA60" s="80">
        <f>IFERROR(Z60*s_EFw*1*s_ETw*(1/24)*s_IRAw,".")</f>
        <v>0.13762810947828491</v>
      </c>
      <c r="AB60" s="81">
        <f>IFERROR(Z60*s_EFw*(1/365)*1*s_ETw*(1/24)*s_GSFa,".")</f>
        <v>2.513755424260911E-5</v>
      </c>
      <c r="AC60" s="80">
        <f>IFERROR(AA60*s_isospec!$D26,".")</f>
        <v>0</v>
      </c>
      <c r="AD60" s="82">
        <f>IFERROR(AB60*s_isospec!$E26,".")</f>
        <v>3.8743838265478854E-7</v>
      </c>
      <c r="AE60" s="83">
        <f t="shared" si="61"/>
        <v>3.8743838265478854E-7</v>
      </c>
      <c r="AF60" s="79">
        <f>AF$48*s_Aeq_Feq!$C26</f>
        <v>2.3099999999999999E-6</v>
      </c>
      <c r="AG60" s="80">
        <f>IFERROR(AF60*s_EFw*1*s_ETw*(1/24)*s_IRAw,".")</f>
        <v>7.9406249999999985E-4</v>
      </c>
      <c r="AH60" s="81">
        <f>IFERROR(AF60*s_EFw*(1/365)*1*s_ETw*(1/24)*s_GSFa,".")</f>
        <v>1.4503424657534244E-7</v>
      </c>
      <c r="AI60" s="80">
        <f>AG60*s_isospec!$D26</f>
        <v>0</v>
      </c>
      <c r="AJ60" s="82">
        <f>AH60*s_isospec!$E26</f>
        <v>2.2353739500821915E-9</v>
      </c>
      <c r="AK60" s="83">
        <f t="shared" si="62"/>
        <v>2.2353739500821915E-9</v>
      </c>
    </row>
    <row r="61" spans="1:37" x14ac:dyDescent="0.25">
      <c r="D61" s="56"/>
      <c r="E61" s="56"/>
    </row>
    <row r="62" spans="1:37" x14ac:dyDescent="0.25">
      <c r="D62" s="56"/>
      <c r="E62" s="56"/>
    </row>
    <row r="63" spans="1:37" x14ac:dyDescent="0.25">
      <c r="D63" s="56"/>
      <c r="E63" s="56"/>
    </row>
  </sheetData>
  <sheetProtection algorithmName="SHA-512" hashValue="KklGxKjRcGrx47e3QqwyPPbbTW3ApuC9nr4SuDWm8nre+l/FCGkASbT3bgTKa2R4VUF8UemqY4aks4t9qzCEgw==" saltValue="5rc/G6sBG0RLKdUKaLkK7g==" spinCount="100000" sheet="1" objects="1" scenarios="1"/>
  <mergeCells count="24">
    <mergeCell ref="U31:V31"/>
    <mergeCell ref="W31:Y31"/>
    <mergeCell ref="AI31:AK31"/>
    <mergeCell ref="B30:G30"/>
    <mergeCell ref="K31:M31"/>
    <mergeCell ref="N31:N32"/>
    <mergeCell ref="O31:P31"/>
    <mergeCell ref="Q31:S31"/>
    <mergeCell ref="T31:T32"/>
    <mergeCell ref="B31:B32"/>
    <mergeCell ref="C31:D31"/>
    <mergeCell ref="E31:G31"/>
    <mergeCell ref="H31:H32"/>
    <mergeCell ref="I31:J31"/>
    <mergeCell ref="H30:M30"/>
    <mergeCell ref="N30:S30"/>
    <mergeCell ref="T30:Y30"/>
    <mergeCell ref="Z30:AE30"/>
    <mergeCell ref="AF30:AK30"/>
    <mergeCell ref="Z31:Z32"/>
    <mergeCell ref="AA31:AB31"/>
    <mergeCell ref="AC31:AE31"/>
    <mergeCell ref="AF31:AF32"/>
    <mergeCell ref="AG31:AH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0EDA-97DC-4245-A506-BB5FB7C22133}">
  <dimension ref="A1:AK63"/>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 defaultRowHeight="15" x14ac:dyDescent="0.25"/>
  <cols>
    <col min="1" max="1" width="17.7109375" style="40" bestFit="1" customWidth="1"/>
    <col min="2" max="2" width="10.85546875" style="40" bestFit="1" customWidth="1"/>
    <col min="3" max="3" width="9" style="40" bestFit="1" customWidth="1"/>
    <col min="4" max="4" width="8.85546875" style="40" bestFit="1" customWidth="1"/>
    <col min="5" max="5" width="11.140625" style="40" bestFit="1" customWidth="1"/>
    <col min="6" max="6" width="9.28515625" style="40" bestFit="1" customWidth="1"/>
    <col min="7" max="7" width="9.140625" style="40" bestFit="1" customWidth="1"/>
    <col min="8" max="8" width="10.140625" style="40" bestFit="1" customWidth="1"/>
    <col min="9" max="9" width="10.42578125" style="40" bestFit="1" customWidth="1"/>
    <col min="10" max="10" width="9.85546875" style="40" bestFit="1" customWidth="1"/>
    <col min="11" max="13" width="9.140625" style="40" bestFit="1" customWidth="1"/>
    <col min="14" max="16" width="8.5703125" style="40" bestFit="1" customWidth="1"/>
    <col min="17" max="19" width="9.140625" style="40" bestFit="1" customWidth="1"/>
    <col min="20" max="20" width="11.85546875" style="40" bestFit="1" customWidth="1"/>
    <col min="21" max="21" width="10" style="40" bestFit="1" customWidth="1"/>
    <col min="22" max="22" width="8.85546875" style="40" bestFit="1" customWidth="1"/>
    <col min="23" max="23" width="12.140625" style="40" bestFit="1" customWidth="1"/>
    <col min="24" max="24" width="10.285156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31" width="9.140625" style="40" bestFit="1" customWidth="1"/>
    <col min="32" max="34" width="8.5703125" style="40" bestFit="1" customWidth="1"/>
    <col min="35" max="37" width="9.140625" style="40" bestFit="1" customWidth="1"/>
    <col min="38" max="16384" width="9" style="40"/>
  </cols>
  <sheetData>
    <row r="1" spans="1:28" x14ac:dyDescent="0.25">
      <c r="A1" s="57" t="s">
        <v>158</v>
      </c>
      <c r="B1" s="58" t="s">
        <v>136</v>
      </c>
      <c r="C1" s="58" t="s">
        <v>137</v>
      </c>
      <c r="D1" s="58" t="s">
        <v>135</v>
      </c>
      <c r="E1" s="58" t="s">
        <v>149</v>
      </c>
      <c r="F1" s="58" t="s">
        <v>150</v>
      </c>
      <c r="G1" s="58" t="s">
        <v>25</v>
      </c>
      <c r="H1" s="58" t="s">
        <v>22</v>
      </c>
      <c r="I1" s="58" t="s">
        <v>23</v>
      </c>
      <c r="J1" s="58" t="s">
        <v>24</v>
      </c>
      <c r="T1" s="61" t="s">
        <v>188</v>
      </c>
      <c r="U1" s="61" t="s">
        <v>189</v>
      </c>
      <c r="V1" s="61" t="s">
        <v>138</v>
      </c>
      <c r="W1" s="61" t="s">
        <v>147</v>
      </c>
      <c r="X1" s="61" t="s">
        <v>148</v>
      </c>
      <c r="Y1" s="61" t="s">
        <v>139</v>
      </c>
      <c r="Z1" s="61" t="s">
        <v>140</v>
      </c>
      <c r="AA1" s="61" t="s">
        <v>141</v>
      </c>
      <c r="AB1" s="61" t="s">
        <v>142</v>
      </c>
    </row>
    <row r="2" spans="1:28" x14ac:dyDescent="0.25">
      <c r="A2" s="57" t="str">
        <f>up_isospec!A2</f>
        <v>Rn-219</v>
      </c>
      <c r="B2" s="59">
        <f>1/(SUM((1/B3),(1/B4),(1/B5),(1/B6),(1/B7),(1/B8)))</f>
        <v>4.1065315031355689E-3</v>
      </c>
      <c r="C2" s="59">
        <f>1/(SUM((1/C3),(1/C4),(1/C5),(1/C6),(1/C7),(1/C8)))</f>
        <v>4.1065315031355693E-6</v>
      </c>
      <c r="D2" s="59">
        <f>1/(1/D3)</f>
        <v>9.160567733398025E-12</v>
      </c>
      <c r="E2" s="59">
        <f>B2/s_AFss</f>
        <v>8.2130630062711374E-2</v>
      </c>
      <c r="F2" s="59">
        <f>(B2/s_AFss)/1000</f>
        <v>8.213063006271137E-5</v>
      </c>
      <c r="G2" s="59">
        <f>IFERROR(B2/(s_AFgw*1000*up_isospec!M2),0)</f>
        <v>9.7108078782624517E-6</v>
      </c>
      <c r="H2" s="59">
        <f>1/(1/H5)</f>
        <v>5.3308530058930922E-2</v>
      </c>
      <c r="I2" s="59">
        <f>1/(SUM((1/I3),(1/I4),(1/I5),(1/I6),(1/I7),(1/I8)))</f>
        <v>6.5617240255727474</v>
      </c>
      <c r="J2" s="59">
        <f>1/(SUM((1/J3),(1/J4),(1/J5),(1/J6),(1/J7),(1/J8)))</f>
        <v>4.1065315031355689E-3</v>
      </c>
      <c r="T2" s="59">
        <f>1/(SUM((1/T3),(1/T4),(1/T5),(1/T6),(1/T7),(1/T8)))</f>
        <v>1.1982695444800486E-3</v>
      </c>
      <c r="U2" s="59">
        <f>1/(SUM((1/U3),(1/U4),(1/U5),(1/U6),(1/U7),(1/U8)))</f>
        <v>1.1982695444800486E-6</v>
      </c>
      <c r="V2" s="59">
        <f>1/(1/V3)</f>
        <v>2.6730171963117909E-12</v>
      </c>
      <c r="W2" s="59">
        <f>T2/s_AFss</f>
        <v>2.3965390889600969E-2</v>
      </c>
      <c r="X2" s="59">
        <f>(T2/s_AFss)/1000</f>
        <v>2.3965390889600969E-5</v>
      </c>
      <c r="Y2" s="59">
        <f>IFERROR(T2/(s_AFgw*1000*up_isospec!M2),0)</f>
        <v>2.8335750800727928E-6</v>
      </c>
      <c r="Z2" s="59">
        <f>1/(1/Z5)</f>
        <v>1.5548321267188183E-2</v>
      </c>
      <c r="AA2" s="59">
        <f>1/(SUM((1/AA3),(1/AA4),(1/AA5),(1/AA6),(1/AA7),(1/AA8)))</f>
        <v>6.5617240255727474</v>
      </c>
      <c r="AB2" s="59">
        <f>1/(SUM((1/AB3),(1/AB4),(1/AB5),(1/AB6),(1/AB7),(1/AB8)))</f>
        <v>1.1982695444800486E-3</v>
      </c>
    </row>
    <row r="3" spans="1:28" x14ac:dyDescent="0.25">
      <c r="A3" s="57" t="str">
        <f>up_isospec!A2</f>
        <v>Rn-219</v>
      </c>
      <c r="B3" s="60">
        <f t="shared" ref="B3:B8" si="0">J3</f>
        <v>9.9677839175609673E-3</v>
      </c>
      <c r="C3" s="60">
        <f t="shared" ref="C3:C8" si="1">MIN(I3:J3)/1000</f>
        <v>9.9677839175609676E-6</v>
      </c>
      <c r="D3" s="60">
        <f>(C3/1000)*s_Aeq_Feq!E2</f>
        <v>9.160567733398025E-12</v>
      </c>
      <c r="E3" s="60"/>
      <c r="F3" s="60"/>
      <c r="G3" s="60"/>
      <c r="H3" s="60">
        <f>IFERROR((s_DL)/(up_isospec!D2*s_IFAres_adj_d)/s_Aeq_Feq!B2,0)</f>
        <v>9.9740259740259754E-3</v>
      </c>
      <c r="I3" s="60">
        <f>IFERROR((s_DL)/(up_isospec!E2*s_EFres*(1/365)*1*s_ETres*(1/24)*s_GSFa)/s_Aeq_Feq!B2,0)</f>
        <v>15.927272727272728</v>
      </c>
      <c r="J3" s="60">
        <f t="shared" ref="J3:J8" si="2">IFERROR(IF(AND(H3&lt;&gt;0,I3&lt;&gt;0),1/((1/H3)+(1/I3)),IF(AND(H3&lt;&gt;0,I3=0),1/(1/H3),IF(AND(H3=0,I3&lt;&gt;0),1/(1/I3),IF(AND(H3=0,I3=0),0)))),0)</f>
        <v>9.9677839175609673E-3</v>
      </c>
      <c r="T3" s="60">
        <f t="shared" ref="T3:T8" si="3">AB3</f>
        <v>2.908559665316422E-3</v>
      </c>
      <c r="U3" s="60">
        <f t="shared" ref="U3:U8" si="4">MIN(AA3:AB3)/1000</f>
        <v>2.908559665316422E-6</v>
      </c>
      <c r="V3" s="60">
        <f>(U3/1000)*s_Aeq_Feq!G2</f>
        <v>2.6730171963117909E-12</v>
      </c>
      <c r="W3" s="60"/>
      <c r="X3" s="60"/>
      <c r="Y3" s="60"/>
      <c r="Z3" s="60">
        <f>IFERROR((s_DL)/(up_isospec!D2*s_EFw*1*s_ETw*(1/24)*s_IRAw)/s_Aeq_Feq!C2,0)</f>
        <v>2.9090909090909089E-3</v>
      </c>
      <c r="AA3" s="60">
        <f>IFERROR((s_DL)/(up_isospec!E2*s_EFw*(1/365)*1*s_ETw*(1/24)*s_GSFa)/s_Aeq_Feq!C2,0)</f>
        <v>15.927272727272728</v>
      </c>
      <c r="AB3" s="60">
        <f t="shared" ref="AB3:AB8" si="5">IFERROR(IF(AND(Z3&lt;&gt;0,AA3&lt;&gt;0),1/((1/Z3)+(1/AA3)),IF(AND(Z3&lt;&gt;0,AA3=0),1/(1/Z3),IF(AND(Z3=0,AA3&lt;&gt;0),1/(1/AA3),IF(AND(Z3=0,AA3=0),0)))),0)</f>
        <v>2.908559665316422E-3</v>
      </c>
    </row>
    <row r="4" spans="1:28" x14ac:dyDescent="0.25">
      <c r="A4" s="57" t="str">
        <f>up_isospec!A3</f>
        <v>Rn-219~Bi-211</v>
      </c>
      <c r="B4" s="60">
        <f t="shared" si="0"/>
        <v>6.6987795144898971E-2</v>
      </c>
      <c r="C4" s="60">
        <f t="shared" si="1"/>
        <v>6.6987795144898967E-5</v>
      </c>
      <c r="D4" s="60">
        <f>(C4/1000)*s_Aeq_Feq!E3</f>
        <v>0</v>
      </c>
      <c r="E4" s="60"/>
      <c r="F4" s="60"/>
      <c r="G4" s="60"/>
      <c r="H4" s="60">
        <f>IFERROR((s_DL)/(up_isospec!D3*s_IFAres_adj_d)/s_Aeq_Feq!B3,0)</f>
        <v>6.7029744449099302E-2</v>
      </c>
      <c r="I4" s="60">
        <f>IFERROR((s_DL)/(up_isospec!E3*s_EFres*(1/365)*1*s_ETres*(1/24)*s_GSFa)/s_Aeq_Feq!B3,0)</f>
        <v>107.03812316715543</v>
      </c>
      <c r="J4" s="60">
        <f t="shared" si="2"/>
        <v>6.6987795144898971E-2</v>
      </c>
      <c r="T4" s="60">
        <f t="shared" si="3"/>
        <v>1.9546771944330792E-2</v>
      </c>
      <c r="U4" s="60">
        <f t="shared" si="4"/>
        <v>1.9546771944330793E-5</v>
      </c>
      <c r="V4" s="60">
        <f>(U4/1000)*s_Aeq_Feq!G3</f>
        <v>0</v>
      </c>
      <c r="W4" s="60"/>
      <c r="X4" s="60"/>
      <c r="Y4" s="60"/>
      <c r="Z4" s="60">
        <f>IFERROR((s_DL)/(up_isospec!D3*s_EFw*1*s_ETw*(1/24)*s_IRAw)/s_Aeq_Feq!C3,0)</f>
        <v>1.9550342130987292E-2</v>
      </c>
      <c r="AA4" s="60">
        <f>IFERROR((s_DL)/(up_isospec!E3*s_EFw*(1/365)*1*s_ETw*(1/24)*s_GSFa)/s_Aeq_Feq!C3,0)</f>
        <v>107.03812316715543</v>
      </c>
      <c r="AB4" s="60">
        <f t="shared" si="5"/>
        <v>1.9546771944330792E-2</v>
      </c>
    </row>
    <row r="5" spans="1:28" x14ac:dyDescent="0.25">
      <c r="A5" s="57" t="str">
        <f>up_isospec!A4</f>
        <v>Rn-219~Pb-211</v>
      </c>
      <c r="B5" s="60">
        <f t="shared" si="0"/>
        <v>5.3275167918551393E-2</v>
      </c>
      <c r="C5" s="60">
        <f t="shared" si="1"/>
        <v>5.3275167918551392E-5</v>
      </c>
      <c r="D5" s="60">
        <f>(C5/1000)*s_Aeq_Feq!E4</f>
        <v>0</v>
      </c>
      <c r="E5" s="60"/>
      <c r="F5" s="60"/>
      <c r="G5" s="60"/>
      <c r="H5" s="60">
        <f>IFERROR((s_DL)/(up_isospec!D4*s_IFAres_adj_d)/s_Aeq_Feq!B4,0)</f>
        <v>5.3308530058930922E-2</v>
      </c>
      <c r="I5" s="60">
        <f>IFERROR((s_DL)/(up_isospec!E4*s_EFres*(1/365)*1*s_ETres*(1/24)*s_GSFa)/s_Aeq_Feq!B4,0)</f>
        <v>85.12705893785531</v>
      </c>
      <c r="J5" s="60">
        <f t="shared" si="2"/>
        <v>5.3275167918551393E-2</v>
      </c>
      <c r="T5" s="60">
        <f t="shared" si="3"/>
        <v>1.5545481909761743E-2</v>
      </c>
      <c r="U5" s="60">
        <f t="shared" si="4"/>
        <v>1.5545481909761744E-5</v>
      </c>
      <c r="V5" s="60">
        <f>(U5/1000)*s_Aeq_Feq!G4</f>
        <v>0</v>
      </c>
      <c r="W5" s="60"/>
      <c r="X5" s="60"/>
      <c r="Y5" s="60"/>
      <c r="Z5" s="60">
        <f>IFERROR((s_DL)/(up_isospec!D4*s_EFw*1*s_ETw*(1/24)*s_IRAw)/s_Aeq_Feq!C4,0)</f>
        <v>1.5548321267188183E-2</v>
      </c>
      <c r="AA5" s="60">
        <f>IFERROR((s_DL)/(up_isospec!E4*s_EFw*(1/365)*1*s_ETw*(1/24)*s_GSFa)/s_Aeq_Feq!C4,0)</f>
        <v>85.12705893785531</v>
      </c>
      <c r="AB5" s="60">
        <f t="shared" si="5"/>
        <v>1.5545481909761743E-2</v>
      </c>
    </row>
    <row r="6" spans="1:28" x14ac:dyDescent="0.25">
      <c r="A6" s="57" t="str">
        <f>up_isospec!A5</f>
        <v>Rn-219~Po-211</v>
      </c>
      <c r="B6" s="60">
        <f t="shared" si="0"/>
        <v>24.919459793902412</v>
      </c>
      <c r="C6" s="60">
        <f t="shared" si="1"/>
        <v>2.4919459793902411E-2</v>
      </c>
      <c r="D6" s="60">
        <f>(C6/1000)*s_Aeq_Feq!E5</f>
        <v>0</v>
      </c>
      <c r="E6" s="60"/>
      <c r="F6" s="60"/>
      <c r="G6" s="60"/>
      <c r="H6" s="60">
        <f>IFERROR((s_DL)/(up_isospec!D5*s_IFAres_adj_d)/s_Aeq_Feq!B5,0)</f>
        <v>24.935064935064936</v>
      </c>
      <c r="I6" s="60">
        <f>IFERROR((s_DL)/(up_isospec!E5*s_EFres*(1/365)*1*s_ETres*(1/24)*s_GSFa)/s_Aeq_Feq!B5,0)</f>
        <v>39818.181818181816</v>
      </c>
      <c r="J6" s="60">
        <f t="shared" si="2"/>
        <v>24.919459793902412</v>
      </c>
      <c r="T6" s="60">
        <f t="shared" si="3"/>
        <v>7.2713991632910551</v>
      </c>
      <c r="U6" s="60">
        <f t="shared" si="4"/>
        <v>7.2713991632910547E-3</v>
      </c>
      <c r="V6" s="60">
        <f>(U6/1000)*s_Aeq_Feq!G5</f>
        <v>0</v>
      </c>
      <c r="W6" s="60"/>
      <c r="X6" s="60"/>
      <c r="Y6" s="60"/>
      <c r="Z6" s="60">
        <f>IFERROR((s_DL)/(up_isospec!D5*s_EFw*1*s_ETw*(1/24)*s_IRAw)/s_Aeq_Feq!C5,0)</f>
        <v>7.2727272727272716</v>
      </c>
      <c r="AA6" s="60">
        <f>IFERROR((s_DL)/(up_isospec!E5*s_EFw*(1/365)*1*s_ETw*(1/24)*s_GSFa)/s_Aeq_Feq!C5,0)</f>
        <v>39818.181818181816</v>
      </c>
      <c r="AB6" s="60">
        <f t="shared" si="5"/>
        <v>7.2713991632910551</v>
      </c>
    </row>
    <row r="7" spans="1:28" x14ac:dyDescent="0.25">
      <c r="A7" s="57" t="str">
        <f>up_isospec!A6</f>
        <v>Rn-219~Po-215</v>
      </c>
      <c r="B7" s="60">
        <f t="shared" si="0"/>
        <v>1.0000786513054045E-2</v>
      </c>
      <c r="C7" s="60">
        <f t="shared" si="1"/>
        <v>1.0000786513054045E-5</v>
      </c>
      <c r="D7" s="60">
        <f>(C7/1000)*s_Aeq_Feq!E6</f>
        <v>0</v>
      </c>
      <c r="E7" s="60"/>
      <c r="F7" s="60"/>
      <c r="G7" s="60"/>
      <c r="H7" s="60">
        <f>IFERROR((s_DL)/(up_isospec!D6*s_IFAres_adj_d)/s_Aeq_Feq!B6,0)</f>
        <v>1.0007049236506447E-2</v>
      </c>
      <c r="I7" s="60">
        <f>IFERROR((s_DL)/(up_isospec!E6*s_EFres*(1/365)*1*s_ETres*(1/24)*s_GSFa)/s_Aeq_Feq!B6,0)</f>
        <v>15.980006749546229</v>
      </c>
      <c r="J7" s="60">
        <f t="shared" si="2"/>
        <v>1.0000786513054045E-2</v>
      </c>
      <c r="T7" s="60">
        <f t="shared" si="3"/>
        <v>2.9181896912977043E-3</v>
      </c>
      <c r="U7" s="60">
        <f t="shared" si="4"/>
        <v>2.9181896912977044E-6</v>
      </c>
      <c r="V7" s="60">
        <f>(U7/1000)*s_Aeq_Feq!G6</f>
        <v>0</v>
      </c>
      <c r="W7" s="60"/>
      <c r="X7" s="60"/>
      <c r="Y7" s="60"/>
      <c r="Z7" s="60">
        <f>IFERROR((s_DL)/(up_isospec!D6*s_EFw*1*s_ETw*(1/24)*s_IRAw)/s_Aeq_Feq!C6,0)</f>
        <v>2.9187226939810461E-3</v>
      </c>
      <c r="AA7" s="60">
        <f>IFERROR((s_DL)/(up_isospec!E6*s_EFw*(1/365)*1*s_ETw*(1/24)*s_GSFa)/s_Aeq_Feq!C6,0)</f>
        <v>15.980006749546229</v>
      </c>
      <c r="AB7" s="60">
        <f t="shared" si="5"/>
        <v>2.9181896912977043E-3</v>
      </c>
    </row>
    <row r="8" spans="1:28" x14ac:dyDescent="0.25">
      <c r="A8" s="57" t="str">
        <f>up_isospec!A7</f>
        <v>Rn-219~Tl-207</v>
      </c>
      <c r="B8" s="60">
        <f t="shared" si="0"/>
        <v>0.10570290474613964</v>
      </c>
      <c r="C8" s="60">
        <f t="shared" si="1"/>
        <v>1.0570290474613963E-4</v>
      </c>
      <c r="D8" s="60">
        <f>(C8/1000)*s_Aeq_Feq!E7</f>
        <v>0</v>
      </c>
      <c r="E8" s="60"/>
      <c r="F8" s="60"/>
      <c r="G8" s="60"/>
      <c r="H8" s="60">
        <f>IFERROR((s_DL)/(up_isospec!D7*s_IFAres_adj_d)/s_Aeq_Feq!B7,0)</f>
        <v>0.10576909834598065</v>
      </c>
      <c r="I8" s="60">
        <f>IFERROR((s_DL)/(up_isospec!E7*s_EFres*(1/365)*1*s_ETres*(1/24)*s_GSFa)/s_Aeq_Feq!B7,0)</f>
        <v>168.90002892123783</v>
      </c>
      <c r="J8" s="60">
        <f t="shared" si="2"/>
        <v>0.10570290474613964</v>
      </c>
      <c r="T8" s="60">
        <f t="shared" si="3"/>
        <v>3.0843686800810413E-2</v>
      </c>
      <c r="U8" s="60">
        <f t="shared" si="4"/>
        <v>3.0843686800810413E-5</v>
      </c>
      <c r="V8" s="60">
        <f>(U8/1000)*s_Aeq_Feq!G7</f>
        <v>0</v>
      </c>
      <c r="W8" s="60"/>
      <c r="X8" s="60"/>
      <c r="Y8" s="60"/>
      <c r="Z8" s="60">
        <f>IFERROR((s_DL)/(up_isospec!D7*s_EFw*1*s_ETw*(1/24)*s_IRAw)/s_Aeq_Feq!C7,0)</f>
        <v>3.0849320350911019E-2</v>
      </c>
      <c r="AA8" s="60">
        <f>IFERROR((s_DL)/(up_isospec!E7*s_EFw*(1/365)*1*s_ETw*(1/24)*s_GSFa)/s_Aeq_Feq!C7,0)</f>
        <v>168.90002892123783</v>
      </c>
      <c r="AB8" s="60">
        <f t="shared" si="5"/>
        <v>3.0843686800810413E-2</v>
      </c>
    </row>
    <row r="9" spans="1:28" x14ac:dyDescent="0.25">
      <c r="A9" s="57" t="str">
        <f>up_isospec!A8</f>
        <v>Rn-220</v>
      </c>
      <c r="B9" s="59">
        <f>1/(SUM((1/B10),(1/B11),(1/B12),(1/B14),(1/B15)))</f>
        <v>4.9477732143159764E-3</v>
      </c>
      <c r="C9" s="59">
        <f>1/(SUM((1/C10),(1/C11),(1/C12),(1/C14),(1/C15)))</f>
        <v>4.9477732143159762E-6</v>
      </c>
      <c r="D9" s="59">
        <f>1/(1/D10)</f>
        <v>2.0881683303819709E-12</v>
      </c>
      <c r="E9" s="59">
        <f>B9/s_AFss</f>
        <v>9.8955464286319517E-2</v>
      </c>
      <c r="F9" s="59">
        <f>(B9/s_AFss)/1000</f>
        <v>9.8955464286319518E-5</v>
      </c>
      <c r="G9" s="59">
        <f>IFERROR(B9/(s_AFgw*1000*up_isospec!M8),0)</f>
        <v>1.1700111169912861E-5</v>
      </c>
      <c r="H9" s="59">
        <f>1/(SUM((1/H10),(1/H11),(1/H12)))</f>
        <v>9.8314696638994344E-3</v>
      </c>
      <c r="I9" s="59">
        <f>1/(SUM((1/I10),(1/I11),(1/I12),(1/I14),(1/I15)))</f>
        <v>7.9059231248251418</v>
      </c>
      <c r="J9" s="59">
        <f>1/(SUM((1/J10),(1/J11),(1/J12),(1/J14),(1/J15)))</f>
        <v>4.9477732143159764E-3</v>
      </c>
      <c r="T9" s="59">
        <f>1/(SUM((1/T10),(1/T11),(1/T12),(1/T14),(1/T15)))</f>
        <v>1.4437405268124799E-3</v>
      </c>
      <c r="U9" s="59">
        <f>1/(SUM((1/U10),(1/U11),(1/U12),(1/U14),(1/U15)))</f>
        <v>1.4437405268124798E-6</v>
      </c>
      <c r="V9" s="59">
        <f>1/(1/V10)</f>
        <v>6.0931920579055713E-13</v>
      </c>
      <c r="W9" s="59">
        <f>T9/s_AFss</f>
        <v>2.8874810536249598E-2</v>
      </c>
      <c r="X9" s="59">
        <f>(T9/s_AFss)/1000</f>
        <v>2.8874810536249597E-5</v>
      </c>
      <c r="Y9" s="59">
        <f>IFERROR(T9/(s_AFgw*1000*up_isospec!M8),0)</f>
        <v>3.414045861143994E-6</v>
      </c>
      <c r="Z9" s="59">
        <f>1/(SUM((1/Z10),(1/Z11),(1/Z12)))</f>
        <v>2.8675119853040013E-3</v>
      </c>
      <c r="AA9" s="59">
        <f>1/(SUM((1/AA10),(1/AA11),(1/AA12),(1/AA14),(1/AA15)))</f>
        <v>7.9059231248251418</v>
      </c>
      <c r="AB9" s="59">
        <f>1/(SUM((1/AB10),(1/AB11),(1/AB12),(1/AB14),(1/AB15)))</f>
        <v>1.4437405268124799E-3</v>
      </c>
    </row>
    <row r="10" spans="1:28" x14ac:dyDescent="0.25">
      <c r="A10" s="57" t="str">
        <f>up_isospec!A8</f>
        <v>Rn-220</v>
      </c>
      <c r="B10" s="60">
        <f t="shared" ref="B10:B15" si="6">J10</f>
        <v>9.9677839175609673E-3</v>
      </c>
      <c r="C10" s="60">
        <f t="shared" ref="C10:C15" si="7">MIN(I10:J10)/1000</f>
        <v>9.9677839175609676E-6</v>
      </c>
      <c r="D10" s="60">
        <f>(C10/1000)*s_Aeq_Feq!E8</f>
        <v>2.0881683303819709E-12</v>
      </c>
      <c r="E10" s="60"/>
      <c r="F10" s="60"/>
      <c r="G10" s="60"/>
      <c r="H10" s="60">
        <f>IFERROR((s_DL)/(up_isospec!D8*s_IFAres_adj_d)/s_Aeq_Feq!B8,0)</f>
        <v>9.9740259740259754E-3</v>
      </c>
      <c r="I10" s="60">
        <f>IFERROR((s_DL)/(up_isospec!E8*s_EFres*(1/365)*1*s_ETres*(1/24)*s_GSFa)/s_Aeq_Feq!B8,0)</f>
        <v>15.927272727272728</v>
      </c>
      <c r="J10" s="60">
        <f t="shared" ref="J10:J15" si="8">IFERROR(IF(AND(H10&lt;&gt;0,I10&lt;&gt;0),1/((1/H10)+(1/I10)),IF(AND(H10&lt;&gt;0,I10=0),1/(1/H10),IF(AND(H10=0,I10&lt;&gt;0),1/(1/I10),IF(AND(H10=0,I10=0),0)))),0)</f>
        <v>9.9677839175609673E-3</v>
      </c>
      <c r="T10" s="60">
        <f t="shared" ref="T10:T15" si="9">AB10</f>
        <v>2.908559665316422E-3</v>
      </c>
      <c r="U10" s="60">
        <f t="shared" ref="U10:U15" si="10">MIN(AA10:AB10)/1000</f>
        <v>2.908559665316422E-6</v>
      </c>
      <c r="V10" s="60">
        <f>(U10/1000)*s_Aeq_Feq!G8</f>
        <v>6.0931920579055713E-13</v>
      </c>
      <c r="W10" s="60"/>
      <c r="X10" s="60"/>
      <c r="Y10" s="60"/>
      <c r="Z10" s="60">
        <f>IFERROR((s_DL)/(up_isospec!D8*s_EFw*1*s_ETw*(1/24)*s_IRAw)/s_Aeq_Feq!C8,0)</f>
        <v>2.9090909090909089E-3</v>
      </c>
      <c r="AA10" s="60">
        <f>IFERROR((s_DL)/(up_isospec!E8*s_EFw*(1/365)*1*s_ETw*(1/24)*s_GSFa)/s_Aeq_Feq!C8,0)</f>
        <v>15.927272727272728</v>
      </c>
      <c r="AB10" s="60">
        <f t="shared" ref="AB10:AB15" si="11">IFERROR(IF(AND(Z10&lt;&gt;0,AA10&lt;&gt;0),1/((1/Z10)+(1/AA10)),IF(AND(Z10&lt;&gt;0,AA10=0),1/(1/Z10),IF(AND(Z10=0,AA10&lt;&gt;0),1/(1/AA10),IF(AND(Z10=0,AA10=0),0)))),0)</f>
        <v>2.908559665316422E-3</v>
      </c>
    </row>
    <row r="11" spans="1:28" x14ac:dyDescent="0.25">
      <c r="A11" s="57" t="str">
        <f>up_isospec!A9</f>
        <v>Rn-220~Bi-212</v>
      </c>
      <c r="B11" s="60">
        <f t="shared" si="6"/>
        <v>6.229864948475603</v>
      </c>
      <c r="C11" s="60">
        <f t="shared" si="7"/>
        <v>6.2298649484756026E-3</v>
      </c>
      <c r="D11" s="60">
        <f>(C11/1000)*s_Aeq_Feq!E9</f>
        <v>0</v>
      </c>
      <c r="E11" s="60"/>
      <c r="F11" s="60"/>
      <c r="G11" s="60"/>
      <c r="H11" s="60">
        <f>IFERROR((s_DL)/(up_isospec!D9*s_IFAres_adj_d)/s_Aeq_Feq!B9,0)</f>
        <v>6.2337662337662341</v>
      </c>
      <c r="I11" s="60">
        <f>IFERROR((s_DL)/(up_isospec!E9*s_EFres*(1/365)*1*s_ETres*(1/24)*s_GSFa)/s_Aeq_Feq!B9,0)</f>
        <v>9954.545454545454</v>
      </c>
      <c r="J11" s="60">
        <f t="shared" si="8"/>
        <v>6.229864948475603</v>
      </c>
      <c r="T11" s="60">
        <f t="shared" si="9"/>
        <v>1.8178497908227638</v>
      </c>
      <c r="U11" s="60">
        <f t="shared" si="10"/>
        <v>1.8178497908227637E-3</v>
      </c>
      <c r="V11" s="60">
        <f>(U11/1000)*s_Aeq_Feq!G9</f>
        <v>0</v>
      </c>
      <c r="W11" s="60"/>
      <c r="X11" s="60"/>
      <c r="Y11" s="60"/>
      <c r="Z11" s="60">
        <f>IFERROR((s_DL)/(up_isospec!D9*s_EFw*1*s_ETw*(1/24)*s_IRAw)/s_Aeq_Feq!C9,0)</f>
        <v>1.8181818181818179</v>
      </c>
      <c r="AA11" s="60">
        <f>IFERROR((s_DL)/(up_isospec!E9*s_EFw*(1/365)*1*s_ETw*(1/24)*s_GSFa)/s_Aeq_Feq!C9,0)</f>
        <v>9954.545454545454</v>
      </c>
      <c r="AB11" s="60">
        <f t="shared" si="11"/>
        <v>1.8178497908227638</v>
      </c>
    </row>
    <row r="12" spans="1:28" x14ac:dyDescent="0.25">
      <c r="A12" s="57" t="str">
        <f>up_isospec!A10</f>
        <v>Rn-220~Pb-212</v>
      </c>
      <c r="B12" s="60">
        <f t="shared" si="6"/>
        <v>0.77269642771790448</v>
      </c>
      <c r="C12" s="60">
        <f t="shared" si="7"/>
        <v>7.7269642771790451E-4</v>
      </c>
      <c r="D12" s="60">
        <f>(C12/1000)*s_Aeq_Feq!E10</f>
        <v>0</v>
      </c>
      <c r="E12" s="60"/>
      <c r="F12" s="60"/>
      <c r="G12" s="60"/>
      <c r="H12" s="60">
        <f>IFERROR((s_DL)/(up_isospec!D10*s_IFAres_adj_d)/s_Aeq_Feq!B10,0)</f>
        <v>0.77318030806402915</v>
      </c>
      <c r="I12" s="60">
        <f>IFERROR((s_DL)/(up_isospec!E10*s_EFres*(1/365)*1*s_ETres*(1/24)*s_GSFa)/s_Aeq_Feq!B10,0)</f>
        <v>1234.6723044397463</v>
      </c>
      <c r="J12" s="60">
        <f t="shared" si="8"/>
        <v>0.77269642771790448</v>
      </c>
      <c r="T12" s="60">
        <f t="shared" si="9"/>
        <v>0.22546974149739704</v>
      </c>
      <c r="U12" s="60">
        <f t="shared" si="10"/>
        <v>2.2546974149739704E-4</v>
      </c>
      <c r="V12" s="60">
        <f>(U12/1000)*s_Aeq_Feq!G10</f>
        <v>0</v>
      </c>
      <c r="W12" s="60"/>
      <c r="X12" s="60"/>
      <c r="Y12" s="60"/>
      <c r="Z12" s="60">
        <f>IFERROR((s_DL)/(up_isospec!D10*s_EFw*1*s_ETw*(1/24)*s_IRAw)/s_Aeq_Feq!C10,0)</f>
        <v>0.22551092318534177</v>
      </c>
      <c r="AA12" s="60">
        <f>IFERROR((s_DL)/(up_isospec!E10*s_EFw*(1/365)*1*s_ETw*(1/24)*s_GSFa)/s_Aeq_Feq!C10,0)</f>
        <v>1234.6723044397463</v>
      </c>
      <c r="AB12" s="60">
        <f t="shared" si="11"/>
        <v>0.22546974149739704</v>
      </c>
    </row>
    <row r="13" spans="1:28" x14ac:dyDescent="0.25">
      <c r="A13" s="57" t="str">
        <f>up_isospec!A11</f>
        <v>Rn-220~Po-212</v>
      </c>
      <c r="B13" s="60">
        <f t="shared" si="6"/>
        <v>9.9677839175609648</v>
      </c>
      <c r="C13" s="60">
        <f t="shared" si="7"/>
        <v>9.9677839175609656E-3</v>
      </c>
      <c r="D13" s="60">
        <f>(C13/1000)*s_Aeq_Feq!E11</f>
        <v>0</v>
      </c>
      <c r="E13" s="60"/>
      <c r="F13" s="60"/>
      <c r="G13" s="60"/>
      <c r="H13" s="60">
        <f>IFERROR((s_DL)/(up_isospec!D11*s_IFAres_adj_d)/s_Aeq_Feq!B11,0)</f>
        <v>9.9740259740259756</v>
      </c>
      <c r="I13" s="60">
        <f>IFERROR((s_DL)/(up_isospec!E11*s_EFres*(1/365)*1*s_ETres*(1/24)*s_GSFa)/s_Aeq_Feq!B11,0)</f>
        <v>15927.272727272728</v>
      </c>
      <c r="J13" s="60">
        <f t="shared" si="8"/>
        <v>9.9677839175609648</v>
      </c>
      <c r="T13" s="60">
        <f t="shared" si="9"/>
        <v>2.9085596653164214</v>
      </c>
      <c r="U13" s="60">
        <f t="shared" si="10"/>
        <v>2.9085596653164215E-3</v>
      </c>
      <c r="V13" s="60">
        <f>(U13/1000)*s_Aeq_Feq!G11</f>
        <v>0</v>
      </c>
      <c r="W13" s="60"/>
      <c r="X13" s="60"/>
      <c r="Y13" s="60"/>
      <c r="Z13" s="60">
        <f>IFERROR((s_DL)/(up_isospec!D11*s_EFw*1*s_ETw*(1/24)*s_IRAw)/s_Aeq_Feq!C11,0)</f>
        <v>2.9090909090909087</v>
      </c>
      <c r="AA13" s="60">
        <f>IFERROR((s_DL)/(up_isospec!E11*s_EFw*(1/365)*1*s_ETw*(1/24)*s_GSFa)/s_Aeq_Feq!C11,0)</f>
        <v>15927.272727272728</v>
      </c>
      <c r="AB13" s="60">
        <f t="shared" si="11"/>
        <v>2.9085596653164214</v>
      </c>
    </row>
    <row r="14" spans="1:28" x14ac:dyDescent="0.25">
      <c r="A14" s="57" t="str">
        <f>up_isospec!A12</f>
        <v>Rn-220~Po-216</v>
      </c>
      <c r="B14" s="60">
        <f t="shared" si="6"/>
        <v>9.9707751501059982E-3</v>
      </c>
      <c r="C14" s="60">
        <f t="shared" si="7"/>
        <v>9.9707751501059979E-6</v>
      </c>
      <c r="D14" s="60">
        <f>(C14/1000)*s_Aeq_Feq!E12</f>
        <v>0</v>
      </c>
      <c r="E14" s="60"/>
      <c r="F14" s="60"/>
      <c r="G14" s="60"/>
      <c r="H14" s="60">
        <f>IFERROR((s_DL)/(up_isospec!D12*s_IFAres_adj_d)/s_Aeq_Feq!B12,0)</f>
        <v>9.9770190797498996E-3</v>
      </c>
      <c r="I14" s="60">
        <f>IFERROR((s_DL)/(up_isospec!E12*s_EFres*(1/365)*1*s_ETres*(1/24)*s_GSFa)/s_Aeq_Feq!B12,0)</f>
        <v>15.93205234297562</v>
      </c>
      <c r="J14" s="60">
        <f t="shared" si="8"/>
        <v>9.9707751501059982E-3</v>
      </c>
      <c r="T14" s="60">
        <f t="shared" si="9"/>
        <v>2.9094324950649417E-3</v>
      </c>
      <c r="U14" s="60">
        <f t="shared" si="10"/>
        <v>2.9094324950649419E-6</v>
      </c>
      <c r="V14" s="60">
        <f>(U14/1000)*s_Aeq_Feq!G12</f>
        <v>0</v>
      </c>
      <c r="W14" s="60"/>
      <c r="X14" s="60"/>
      <c r="Y14" s="60"/>
      <c r="Z14" s="60">
        <f>IFERROR((s_DL)/(up_isospec!D12*s_EFw*1*s_ETw*(1/24)*s_IRAw)/s_Aeq_Feq!C12,0)</f>
        <v>2.9099638982603869E-3</v>
      </c>
      <c r="AA14" s="60">
        <f>IFERROR((s_DL)/(up_isospec!E12*s_EFw*(1/365)*1*s_ETw*(1/24)*s_GSFa)/s_Aeq_Feq!C12,0)</f>
        <v>15.93205234297562</v>
      </c>
      <c r="AB14" s="60">
        <f t="shared" si="11"/>
        <v>2.9094324950649417E-3</v>
      </c>
    </row>
    <row r="15" spans="1:28" x14ac:dyDescent="0.25">
      <c r="A15" s="57" t="str">
        <f>up_isospec!A13</f>
        <v>Rn-220~Tl-208</v>
      </c>
      <c r="B15" s="60">
        <f t="shared" si="6"/>
        <v>24.919459793902412</v>
      </c>
      <c r="C15" s="60">
        <f t="shared" si="7"/>
        <v>2.4919459793902411E-2</v>
      </c>
      <c r="D15" s="60">
        <f>(C15/1000)*s_Aeq_Feq!E13</f>
        <v>0</v>
      </c>
      <c r="E15" s="60"/>
      <c r="F15" s="60"/>
      <c r="G15" s="60"/>
      <c r="H15" s="60">
        <f>IFERROR((s_DL)/(up_isospec!D13*s_IFAres_adj_d)/s_Aeq_Feq!B13,0)</f>
        <v>24.935064935064936</v>
      </c>
      <c r="I15" s="60">
        <f>IFERROR((s_DL)/(up_isospec!E13*s_EFres*(1/365)*1*s_ETres*(1/24)*s_GSFa)/s_Aeq_Feq!B13,0)</f>
        <v>39818.181818181816</v>
      </c>
      <c r="J15" s="60">
        <f t="shared" si="8"/>
        <v>24.919459793902412</v>
      </c>
      <c r="T15" s="60">
        <f t="shared" si="9"/>
        <v>7.2713991632910551</v>
      </c>
      <c r="U15" s="60">
        <f t="shared" si="10"/>
        <v>7.2713991632910547E-3</v>
      </c>
      <c r="V15" s="60">
        <f>(U15/1000)*s_Aeq_Feq!G13</f>
        <v>0</v>
      </c>
      <c r="W15" s="60"/>
      <c r="X15" s="60"/>
      <c r="Y15" s="60"/>
      <c r="Z15" s="60">
        <f>IFERROR((s_DL)/(up_isospec!D13*s_EFw*1*s_ETw*(1/24)*s_IRAw)/s_Aeq_Feq!C13,0)</f>
        <v>7.2727272727272716</v>
      </c>
      <c r="AA15" s="60">
        <f>IFERROR((s_DL)/(up_isospec!E13*s_EFw*(1/365)*1*s_ETw*(1/24)*s_GSFa)/s_Aeq_Feq!C13,0)</f>
        <v>39818.181818181816</v>
      </c>
      <c r="AB15" s="60">
        <f t="shared" si="11"/>
        <v>7.2713991632910551</v>
      </c>
    </row>
    <row r="16" spans="1:28" x14ac:dyDescent="0.25">
      <c r="A16" s="57" t="str">
        <f>up_isospec!A14</f>
        <v>Rn-222</v>
      </c>
      <c r="B16" s="59">
        <f>1/(SUM((1/B17),(1/B18),(1/B20),(1/B23),(1/B25),(1/B26),(1/B27),(1/B29)))</f>
        <v>4.9765406502559799E-3</v>
      </c>
      <c r="C16" s="59">
        <f>1/(SUM((1/C17),(1/C18),(1/C20),(1/C23),(1/C25),(1/C26),(1/C27),(1/C29)))</f>
        <v>4.9765406502559805E-6</v>
      </c>
      <c r="D16" s="59">
        <f>IFERROR(1/(1/D17),0)</f>
        <v>3.4681154197008822E-11</v>
      </c>
      <c r="E16" s="59">
        <f>B16/s_AFss</f>
        <v>9.9530813005119595E-2</v>
      </c>
      <c r="F16" s="59">
        <f>(B16/s_AFss)/1000</f>
        <v>9.9530813005119597E-5</v>
      </c>
      <c r="G16" s="59">
        <f>IFERROR(B16/(s_AFgw*1000*up_isospec!M14),0)</f>
        <v>1.1768138176000674E-5</v>
      </c>
      <c r="H16" s="59">
        <f>1/(SUM((1/H17),(1/H18),(1/H20),(1/H23),(1/H25),(1/H26),(1/H27),(1/H29)))</f>
        <v>4.9796570749293303E-3</v>
      </c>
      <c r="I16" s="59">
        <f>1/(SUM((1/I17),(1/I18),(1/I20),(1/I23),(1/I25),(1/I26),(1/I27),(1/I29)))</f>
        <v>7.951889891527772</v>
      </c>
      <c r="J16" s="59">
        <f>1/(SUM((1/J17),(1/J18),(1/J20),(1/J23),(1/J25),(1/J26),(1/J27),(1/J29)))</f>
        <v>4.9765406502559799E-3</v>
      </c>
      <c r="T16" s="59">
        <f>1/(SUM((1/T17),(1/T18),(1/T20),(1/T23),(1/T25),(1/T26),(1/T27),(1/T29)))</f>
        <v>1.4521347500963792E-3</v>
      </c>
      <c r="U16" s="59">
        <f>1/(SUM((1/U17),(1/U18),(1/U20),(1/U23),(1/U25),(1/U26),(1/U27),(1/U29)))</f>
        <v>1.4521347500963793E-6</v>
      </c>
      <c r="V16" s="59">
        <f>1/(1/V17)</f>
        <v>1.0119822728733648E-11</v>
      </c>
      <c r="W16" s="59">
        <f>T16/s_AFss</f>
        <v>2.9042695001927583E-2</v>
      </c>
      <c r="X16" s="59">
        <f>(T16/s_AFss)/1000</f>
        <v>2.9042695001927585E-5</v>
      </c>
      <c r="Y16" s="59">
        <f>IFERROR(T16/(s_AFgw*1000*up_isospec!M14),0)</f>
        <v>3.4338958707043595E-6</v>
      </c>
      <c r="Z16" s="59">
        <f>1/(SUM((1/Z17),(1/Z18),(1/Z20),(1/Z23),(1/Z25),(1/Z26),(1/Z27),(1/Z29)))</f>
        <v>1.4523999801877212E-3</v>
      </c>
      <c r="AA16" s="59">
        <f>1/(SUM((1/AA17),(1/AA18),(1/AA20),(1/AA23),(1/AA25),(1/AA26),(1/AA27),(1/AA29)))</f>
        <v>7.951889891527772</v>
      </c>
      <c r="AB16" s="59">
        <f>1/(SUM((1/AB17),(1/AB18),(1/AB20),(1/AB23),(1/AB25),(1/AB26),(1/AB27),(1/AB29)))</f>
        <v>1.4521347500963792E-3</v>
      </c>
    </row>
    <row r="17" spans="1:37" x14ac:dyDescent="0.25">
      <c r="A17" s="23" t="s">
        <v>1</v>
      </c>
      <c r="B17" s="60">
        <f>J17</f>
        <v>9.9677839175609673E-3</v>
      </c>
      <c r="C17" s="60">
        <f t="shared" ref="C17:C18" si="12">MIN(I17:J17)/1000</f>
        <v>9.9677839175609676E-6</v>
      </c>
      <c r="D17" s="60">
        <f>(C17/1000)*s_Aeq_Feq!E14</f>
        <v>3.4681154197008822E-11</v>
      </c>
      <c r="E17" s="60"/>
      <c r="F17" s="60"/>
      <c r="G17" s="60"/>
      <c r="H17" s="60">
        <f>IFERROR((s_DL)/(up_isospec!D14*s_IFAres_adj_d)/s_Aeq_Feq!B14,0)</f>
        <v>9.9740259740259754E-3</v>
      </c>
      <c r="I17" s="60">
        <f>IFERROR((s_DL)/(up_isospec!E14*s_EFres*(1/365)*1*s_ETres*(1/24)*s_GSFa)/s_Aeq_Feq!B14,0)</f>
        <v>15.927272727272728</v>
      </c>
      <c r="J17" s="60">
        <f>IFERROR(IF(AND(H17&lt;&gt;0,I17&lt;&gt;0),1/((1/H17)+(1/I17)),IF(AND(H17&lt;&gt;0,I17=0),1/(1/H17),IF(AND(H17=0,I17&lt;&gt;0),1/(1/I17),IF(AND(H17=0,I17=0),0)))),0)</f>
        <v>9.9677839175609673E-3</v>
      </c>
      <c r="T17" s="60">
        <f t="shared" ref="T17:T18" si="13">AB17</f>
        <v>2.908559665316422E-3</v>
      </c>
      <c r="U17" s="60">
        <f t="shared" ref="U17:U18" si="14">MIN(AA17:AB17)/1000</f>
        <v>2.908559665316422E-6</v>
      </c>
      <c r="V17" s="60">
        <f>(U17/1000)*s_Aeq_Feq!G14</f>
        <v>1.0119822728733648E-11</v>
      </c>
      <c r="W17" s="60"/>
      <c r="X17" s="60"/>
      <c r="Y17" s="60"/>
      <c r="Z17" s="60">
        <f>IFERROR((s_DL)/(up_isospec!D14*s_EFw*1*s_ETw*(1/24)*s_IRAw)/s_Aeq_Feq!C14,0)</f>
        <v>2.9090909090909089E-3</v>
      </c>
      <c r="AA17" s="60">
        <f>IFERROR((s_DL)/(up_isospec!E14*s_EFw*(1/365)*1*s_ETw*(1/24)*s_GSFa)/s_Aeq_Feq!C14,0)</f>
        <v>15.927272727272728</v>
      </c>
      <c r="AB17" s="60">
        <f t="shared" ref="AB17:AB18" si="15">IFERROR(IF(AND(Z17&lt;&gt;0,AA17&lt;&gt;0),1/((1/Z17)+(1/AA17)),IF(AND(Z17&lt;&gt;0,AA17=0),1/(1/Z17),IF(AND(Z17=0,AA17&lt;&gt;0),1/(1/AA17),IF(AND(Z17=0,AA17=0),0)))),0)</f>
        <v>2.908559665316422E-3</v>
      </c>
    </row>
    <row r="18" spans="1:37" x14ac:dyDescent="0.25">
      <c r="A18" s="23" t="s">
        <v>108</v>
      </c>
      <c r="B18" s="60">
        <f>J18</f>
        <v>68.743337362489413</v>
      </c>
      <c r="C18" s="60">
        <f t="shared" si="12"/>
        <v>6.8743337362489415E-2</v>
      </c>
      <c r="D18" s="60">
        <f>(C18/1000)*s_Aeq_Feq!E15</f>
        <v>0</v>
      </c>
      <c r="E18" s="60"/>
      <c r="F18" s="60"/>
      <c r="G18" s="60"/>
      <c r="H18" s="60">
        <f>IFERROR((s_DL)/(up_isospec!D15*s_IFAres_adj_d)/s_Aeq_Feq!B15,0)</f>
        <v>68.786386027765346</v>
      </c>
      <c r="I18" s="60">
        <f>IFERROR((s_DL)/(up_isospec!E15*s_EFres*(1/365)*1*s_ETres*(1/24)*s_GSFa)/s_Aeq_Feq!B15,0)</f>
        <v>109843.26018808778</v>
      </c>
      <c r="J18" s="60">
        <f t="shared" ref="J18" si="16">IFERROR(IF(AND(H18&lt;&gt;0,I18&lt;&gt;0),1/((1/H18)+(1/I18)),IF(AND(H18&lt;&gt;0,I18=0),1/(1/H18),IF(AND(H18=0,I18&lt;&gt;0),1/(1/I18),IF(AND(H18=0,I18=0),0)))),0)</f>
        <v>68.743337362489413</v>
      </c>
      <c r="T18" s="60">
        <f t="shared" si="13"/>
        <v>20.059032174596013</v>
      </c>
      <c r="U18" s="60">
        <f t="shared" si="14"/>
        <v>2.0059032174596012E-2</v>
      </c>
      <c r="V18" s="60">
        <f>(U18/1000)*s_Aeq_Feq!G15</f>
        <v>0</v>
      </c>
      <c r="W18" s="60"/>
      <c r="X18" s="60"/>
      <c r="Y18" s="60"/>
      <c r="Z18" s="60">
        <f>IFERROR((s_DL)/(up_isospec!D15*s_EFw*1*s_ETw*(1/24)*s_IRAw)/s_Aeq_Feq!C15,0)</f>
        <v>20.062695924764888</v>
      </c>
      <c r="AA18" s="60">
        <f>IFERROR((s_DL)/(up_isospec!E15*s_EFw*(1/365)*1*s_ETw*(1/24)*s_GSFa)/s_Aeq_Feq!C15,0)</f>
        <v>109843.26018808778</v>
      </c>
      <c r="AB18" s="60">
        <f t="shared" si="15"/>
        <v>20.059032174596013</v>
      </c>
    </row>
    <row r="19" spans="1:37" x14ac:dyDescent="0.25">
      <c r="A19" s="23" t="s">
        <v>173</v>
      </c>
      <c r="B19" s="60">
        <f t="shared" ref="B19:B29" si="17">J19</f>
        <v>0</v>
      </c>
      <c r="C19" s="60">
        <f t="shared" ref="C19:C29" si="18">MIN(I19:J19)/1000</f>
        <v>0</v>
      </c>
      <c r="D19" s="60">
        <f>(C19/1000)*s_Aeq_Feq!E16</f>
        <v>0</v>
      </c>
      <c r="E19" s="60"/>
      <c r="F19" s="60"/>
      <c r="G19" s="60"/>
      <c r="H19" s="60">
        <f>IFERROR((s_DL)/(up_isospec!D16*s_IFAres_adj_d)/s_Aeq_Feq!B16,0)</f>
        <v>0</v>
      </c>
      <c r="I19" s="60">
        <f>IFERROR((s_DL)/(up_isospec!E16*s_EFres*(1/365)*1*s_ETres*(1/24)*s_GSFa)/s_Aeq_Feq!B16,0)</f>
        <v>0</v>
      </c>
      <c r="J19" s="60">
        <f t="shared" ref="J19:J29" si="19">IFERROR(IF(AND(H19&lt;&gt;0,I19&lt;&gt;0),1/((1/H19)+(1/I19)),IF(AND(H19&lt;&gt;0,I19=0),1/(1/H19),IF(AND(H19=0,I19&lt;&gt;0),1/(1/I19),IF(AND(H19=0,I19=0),0)))),0)</f>
        <v>0</v>
      </c>
      <c r="T19" s="60">
        <f t="shared" ref="T19:T29" si="20">AB19</f>
        <v>0</v>
      </c>
      <c r="U19" s="60">
        <f t="shared" ref="U19:U29" si="21">MIN(AA19:AB19)/1000</f>
        <v>0</v>
      </c>
      <c r="V19" s="60">
        <f>(U19/1000)*s_Aeq_Feq!G16</f>
        <v>0</v>
      </c>
      <c r="W19" s="60"/>
      <c r="X19" s="60"/>
      <c r="Y19" s="60"/>
      <c r="Z19" s="60">
        <f>IFERROR((s_DL)/(up_isospec!D16*s_EFw*1*s_ETw*(1/24)*s_IRAw)/s_Aeq_Feq!C16,0)</f>
        <v>0</v>
      </c>
      <c r="AA19" s="60">
        <f>IFERROR((s_DL)/(up_isospec!E16*s_EFw*(1/365)*1*s_ETw*(1/24)*s_GSFa)/s_Aeq_Feq!C16,0)</f>
        <v>0</v>
      </c>
      <c r="AB19" s="60">
        <f t="shared" ref="AB19:AB29" si="22">IFERROR(IF(AND(Z19&lt;&gt;0,AA19&lt;&gt;0),1/((1/Z19)+(1/AA19)),IF(AND(Z19&lt;&gt;0,AA19=0),1/(1/Z19),IF(AND(Z19=0,AA19&lt;&gt;0),1/(1/AA19),IF(AND(Z19=0,AA19=0),0)))),0)</f>
        <v>0</v>
      </c>
    </row>
    <row r="20" spans="1:37" x14ac:dyDescent="0.25">
      <c r="A20" s="23" t="s">
        <v>109</v>
      </c>
      <c r="B20" s="60">
        <f t="shared" si="17"/>
        <v>0.19583072529589327</v>
      </c>
      <c r="C20" s="60">
        <f t="shared" si="18"/>
        <v>1.9583072529589328E-4</v>
      </c>
      <c r="D20" s="60">
        <f>(C20/1000)*s_Aeq_Feq!E17</f>
        <v>0</v>
      </c>
      <c r="E20" s="60"/>
      <c r="F20" s="60"/>
      <c r="G20" s="60"/>
      <c r="H20" s="60">
        <f>IFERROR((s_DL)/(up_isospec!D17*s_IFAres_adj_d)/s_Aeq_Feq!B17,0)</f>
        <v>0.19595335901819205</v>
      </c>
      <c r="I20" s="60">
        <f>IFERROR((s_DL)/(up_isospec!E17*s_EFres*(1/365)*1*s_ETres*(1/24)*s_GSFa)/s_Aeq_Feq!B17,0)</f>
        <v>312.91302018217539</v>
      </c>
      <c r="J20" s="60">
        <f t="shared" si="19"/>
        <v>0.19583072529589327</v>
      </c>
      <c r="T20" s="60">
        <f t="shared" si="20"/>
        <v>5.7142626037650732E-2</v>
      </c>
      <c r="U20" s="60">
        <f t="shared" si="21"/>
        <v>5.7142626037650732E-5</v>
      </c>
      <c r="V20" s="60">
        <f>(U20/1000)*s_Aeq_Feq!G17</f>
        <v>0</v>
      </c>
      <c r="W20" s="60"/>
      <c r="X20" s="60"/>
      <c r="Y20" s="60"/>
      <c r="Z20" s="60">
        <f>IFERROR((s_DL)/(up_isospec!D17*s_EFw*1*s_ETw*(1/24)*s_IRAw)/s_Aeq_Feq!C17,0)</f>
        <v>5.7153063046972673E-2</v>
      </c>
      <c r="AA20" s="60">
        <f>IFERROR((s_DL)/(up_isospec!E17*s_EFw*(1/365)*1*s_ETw*(1/24)*s_GSFa)/s_Aeq_Feq!C17,0)</f>
        <v>312.91302018217539</v>
      </c>
      <c r="AB20" s="60">
        <f t="shared" si="22"/>
        <v>5.7142626037650732E-2</v>
      </c>
    </row>
    <row r="21" spans="1:37" x14ac:dyDescent="0.25">
      <c r="A21" s="23" t="s">
        <v>174</v>
      </c>
      <c r="B21" s="60">
        <f t="shared" si="17"/>
        <v>0</v>
      </c>
      <c r="C21" s="60">
        <f t="shared" si="18"/>
        <v>0</v>
      </c>
      <c r="D21" s="60">
        <f>(C21/1000)*s_Aeq_Feq!E18</f>
        <v>0</v>
      </c>
      <c r="E21" s="60"/>
      <c r="F21" s="60"/>
      <c r="G21" s="60"/>
      <c r="H21" s="60">
        <f>IFERROR((s_DL)/(up_isospec!D18*s_IFAres_adj_d)/s_Aeq_Feq!B18,0)</f>
        <v>0</v>
      </c>
      <c r="I21" s="60">
        <f>IFERROR((s_DL)/(up_isospec!E18*s_EFres*(1/365)*1*s_ETres*(1/24)*s_GSFa)/s_Aeq_Feq!B18,0)</f>
        <v>0</v>
      </c>
      <c r="J21" s="60">
        <f t="shared" si="19"/>
        <v>0</v>
      </c>
      <c r="T21" s="60">
        <f t="shared" si="20"/>
        <v>0</v>
      </c>
      <c r="U21" s="60">
        <f t="shared" si="21"/>
        <v>0</v>
      </c>
      <c r="V21" s="60">
        <f>(U21/1000)*s_Aeq_Feq!G18</f>
        <v>0</v>
      </c>
      <c r="W21" s="60"/>
      <c r="X21" s="60"/>
      <c r="Y21" s="60"/>
      <c r="Z21" s="60">
        <f>IFERROR((s_DL)/(up_isospec!D18*s_EFw*1*s_ETw*(1/24)*s_IRAw)/s_Aeq_Feq!C18,0)</f>
        <v>0</v>
      </c>
      <c r="AA21" s="60">
        <f>IFERROR((s_DL)/(up_isospec!E18*s_EFw*(1/365)*1*s_ETw*(1/24)*s_GSFa)/s_Aeq_Feq!C18,0)</f>
        <v>0</v>
      </c>
      <c r="AB21" s="60">
        <f t="shared" si="22"/>
        <v>0</v>
      </c>
    </row>
    <row r="22" spans="1:37" x14ac:dyDescent="0.25">
      <c r="A22" s="23" t="s">
        <v>175</v>
      </c>
      <c r="B22" s="60">
        <f t="shared" si="17"/>
        <v>0</v>
      </c>
      <c r="C22" s="60">
        <f t="shared" si="18"/>
        <v>0</v>
      </c>
      <c r="D22" s="60">
        <f>(C22/1000)*s_Aeq_Feq!E19</f>
        <v>0</v>
      </c>
      <c r="E22" s="60"/>
      <c r="F22" s="60"/>
      <c r="G22" s="60"/>
      <c r="H22" s="60">
        <f>IFERROR((s_DL)/(up_isospec!D19*s_IFAres_adj_d)/s_Aeq_Feq!B19,0)</f>
        <v>0</v>
      </c>
      <c r="I22" s="60">
        <f>IFERROR((s_DL)/(up_isospec!E19*s_EFres*(1/365)*1*s_ETres*(1/24)*s_GSFa)/s_Aeq_Feq!B19,0)</f>
        <v>0</v>
      </c>
      <c r="J22" s="60">
        <f t="shared" si="19"/>
        <v>0</v>
      </c>
      <c r="T22" s="60">
        <f t="shared" si="20"/>
        <v>0</v>
      </c>
      <c r="U22" s="60">
        <f t="shared" si="21"/>
        <v>0</v>
      </c>
      <c r="V22" s="60">
        <f>(U22/1000)*s_Aeq_Feq!G19</f>
        <v>0</v>
      </c>
      <c r="W22" s="60"/>
      <c r="X22" s="60"/>
      <c r="Y22" s="60"/>
      <c r="Z22" s="60">
        <f>IFERROR((s_DL)/(up_isospec!D19*s_EFw*1*s_ETw*(1/24)*s_IRAw)/s_Aeq_Feq!C19,0)</f>
        <v>0</v>
      </c>
      <c r="AA22" s="60">
        <f>IFERROR((s_DL)/(up_isospec!E19*s_EFw*(1/365)*1*s_ETw*(1/24)*s_GSFa)/s_Aeq_Feq!C19,0)</f>
        <v>0</v>
      </c>
      <c r="AB22" s="60">
        <f t="shared" si="22"/>
        <v>0</v>
      </c>
    </row>
    <row r="23" spans="1:37" x14ac:dyDescent="0.25">
      <c r="A23" s="23" t="s">
        <v>107</v>
      </c>
      <c r="B23" s="60">
        <f t="shared" si="17"/>
        <v>5.7617248078387084E-2</v>
      </c>
      <c r="C23" s="60">
        <f t="shared" si="18"/>
        <v>5.7617248078387084E-5</v>
      </c>
      <c r="D23" s="60">
        <f>(C23/1000)*s_Aeq_Feq!E20</f>
        <v>0</v>
      </c>
      <c r="E23" s="60"/>
      <c r="F23" s="60"/>
      <c r="G23" s="60"/>
      <c r="H23" s="60">
        <f>IFERROR((s_DL)/(up_isospec!D20*s_IFAres_adj_d)/s_Aeq_Feq!B20,0)</f>
        <v>5.7653329329629917E-2</v>
      </c>
      <c r="I23" s="60">
        <f>IFERROR((s_DL)/(up_isospec!E20*s_EFres*(1/365)*1*s_ETres*(1/24)*s_GSFa)/s_Aeq_Feq!B20,0)</f>
        <v>92.065160273252772</v>
      </c>
      <c r="J23" s="60">
        <f t="shared" si="19"/>
        <v>5.7617248078387084E-2</v>
      </c>
      <c r="T23" s="60">
        <f t="shared" si="20"/>
        <v>1.6812483614545792E-2</v>
      </c>
      <c r="U23" s="60">
        <f t="shared" si="21"/>
        <v>1.6812483614545794E-5</v>
      </c>
      <c r="V23" s="60">
        <f>(U23/1000)*s_Aeq_Feq!G20</f>
        <v>0</v>
      </c>
      <c r="W23" s="60"/>
      <c r="X23" s="60"/>
      <c r="Y23" s="60"/>
      <c r="Z23" s="60">
        <f>IFERROR((s_DL)/(up_isospec!D20*s_EFw*1*s_ETw*(1/24)*s_IRAw)/s_Aeq_Feq!C20,0)</f>
        <v>1.6815554387808723E-2</v>
      </c>
      <c r="AA23" s="60">
        <f>IFERROR((s_DL)/(up_isospec!E20*s_EFw*(1/365)*1*s_ETw*(1/24)*s_GSFa)/s_Aeq_Feq!C20,0)</f>
        <v>92.065160273252772</v>
      </c>
      <c r="AB23" s="60">
        <f t="shared" si="22"/>
        <v>1.6812483614545792E-2</v>
      </c>
    </row>
    <row r="24" spans="1:37" x14ac:dyDescent="0.25">
      <c r="A24" s="23" t="s">
        <v>176</v>
      </c>
      <c r="B24" s="60">
        <f t="shared" si="17"/>
        <v>0</v>
      </c>
      <c r="C24" s="60">
        <f t="shared" si="18"/>
        <v>0</v>
      </c>
      <c r="D24" s="60">
        <f>(C24/1000)*s_Aeq_Feq!E21</f>
        <v>0</v>
      </c>
      <c r="E24" s="60"/>
      <c r="F24" s="60"/>
      <c r="G24" s="60"/>
      <c r="H24" s="60">
        <f>IFERROR((s_DL)/(up_isospec!D21*s_IFAres_adj_d)/s_Aeq_Feq!B21,0)</f>
        <v>0</v>
      </c>
      <c r="I24" s="60">
        <f>IFERROR((s_DL)/(up_isospec!E21*s_EFres*(1/365)*1*s_ETres*(1/24)*s_GSFa)/s_Aeq_Feq!B21,0)</f>
        <v>0</v>
      </c>
      <c r="J24" s="60">
        <f t="shared" si="19"/>
        <v>0</v>
      </c>
      <c r="T24" s="60">
        <f t="shared" si="20"/>
        <v>0</v>
      </c>
      <c r="U24" s="60">
        <f t="shared" si="21"/>
        <v>0</v>
      </c>
      <c r="V24" s="60">
        <f>(U24/1000)*s_Aeq_Feq!G21</f>
        <v>0</v>
      </c>
      <c r="W24" s="60"/>
      <c r="X24" s="60"/>
      <c r="Y24" s="60"/>
      <c r="Z24" s="60">
        <f>IFERROR((s_DL)/(up_isospec!D21*s_EFw*1*s_ETw*(1/24)*s_IRAw)/s_Aeq_Feq!C21,0)</f>
        <v>0</v>
      </c>
      <c r="AA24" s="60">
        <f>IFERROR((s_DL)/(up_isospec!E21*s_EFw*(1/365)*1*s_ETw*(1/24)*s_GSFa)/s_Aeq_Feq!C21,0)</f>
        <v>0</v>
      </c>
      <c r="AB24" s="60">
        <f t="shared" si="22"/>
        <v>0</v>
      </c>
    </row>
    <row r="25" spans="1:37" x14ac:dyDescent="0.25">
      <c r="A25" s="23" t="s">
        <v>111</v>
      </c>
      <c r="B25" s="60">
        <f t="shared" si="17"/>
        <v>0.19583072529589327</v>
      </c>
      <c r="C25" s="60">
        <f t="shared" si="18"/>
        <v>1.9583072529589328E-4</v>
      </c>
      <c r="D25" s="60">
        <f>(C25/1000)*s_Aeq_Feq!E22</f>
        <v>0</v>
      </c>
      <c r="E25" s="60"/>
      <c r="F25" s="60"/>
      <c r="G25" s="60"/>
      <c r="H25" s="60">
        <f>IFERROR((s_DL)/(up_isospec!D22*s_IFAres_adj_d)/s_Aeq_Feq!B22,0)</f>
        <v>0.19595335901819205</v>
      </c>
      <c r="I25" s="60">
        <f>IFERROR((s_DL)/(up_isospec!E22*s_EFres*(1/365)*1*s_ETres*(1/24)*s_GSFa)/s_Aeq_Feq!B22,0)</f>
        <v>312.91302018217539</v>
      </c>
      <c r="J25" s="60">
        <f t="shared" si="19"/>
        <v>0.19583072529589327</v>
      </c>
      <c r="T25" s="60">
        <f t="shared" si="20"/>
        <v>5.7142626037650732E-2</v>
      </c>
      <c r="U25" s="60">
        <f t="shared" si="21"/>
        <v>5.7142626037650732E-5</v>
      </c>
      <c r="V25" s="60">
        <f>(U25/1000)*s_Aeq_Feq!G22</f>
        <v>0</v>
      </c>
      <c r="W25" s="60"/>
      <c r="X25" s="60"/>
      <c r="Y25" s="60"/>
      <c r="Z25" s="60">
        <f>IFERROR((s_DL)/(up_isospec!D22*s_EFw*1*s_ETw*(1/24)*s_IRAw)/s_Aeq_Feq!C22,0)</f>
        <v>5.7153063046972673E-2</v>
      </c>
      <c r="AA25" s="60">
        <f>IFERROR((s_DL)/(up_isospec!E22*s_EFw*(1/365)*1*s_ETw*(1/24)*s_GSFa)/s_Aeq_Feq!C22,0)</f>
        <v>312.91302018217539</v>
      </c>
      <c r="AB25" s="60">
        <f t="shared" si="22"/>
        <v>5.7142626037650732E-2</v>
      </c>
    </row>
    <row r="26" spans="1:37" x14ac:dyDescent="0.25">
      <c r="A26" s="23" t="s">
        <v>106</v>
      </c>
      <c r="B26" s="60">
        <f t="shared" si="17"/>
        <v>1.3692010875770558E-2</v>
      </c>
      <c r="C26" s="60">
        <f t="shared" si="18"/>
        <v>1.3692010875770557E-5</v>
      </c>
      <c r="D26" s="60">
        <f>(C26/1000)*s_Aeq_Feq!E23</f>
        <v>0</v>
      </c>
      <c r="E26" s="60"/>
      <c r="F26" s="60"/>
      <c r="G26" s="60"/>
      <c r="H26" s="60">
        <f>IFERROR((s_DL)/(up_isospec!D23*s_IFAres_adj_d)/s_Aeq_Feq!B23,0)</f>
        <v>1.370058512915656E-2</v>
      </c>
      <c r="I26" s="60">
        <f>IFERROR((s_DL)/(up_isospec!E23*s_EFres*(1/365)*1*s_ETres*(1/24)*s_GSFa)/s_Aeq_Feq!B23,0)</f>
        <v>21.878121878121878</v>
      </c>
      <c r="J26" s="60">
        <f t="shared" si="19"/>
        <v>1.3692010875770558E-2</v>
      </c>
      <c r="T26" s="60">
        <f t="shared" si="20"/>
        <v>3.9952742655445361E-3</v>
      </c>
      <c r="U26" s="60">
        <f t="shared" si="21"/>
        <v>3.9952742655445361E-6</v>
      </c>
      <c r="V26" s="60">
        <f>(U26/1000)*s_Aeq_Feq!G23</f>
        <v>0</v>
      </c>
      <c r="W26" s="60"/>
      <c r="X26" s="60"/>
      <c r="Y26" s="60"/>
      <c r="Z26" s="60">
        <f>IFERROR((s_DL)/(up_isospec!D23*s_EFw*1*s_ETw*(1/24)*s_IRAw)/s_Aeq_Feq!C23,0)</f>
        <v>3.996003996003996E-3</v>
      </c>
      <c r="AA26" s="60">
        <f>IFERROR((s_DL)/(up_isospec!E23*s_EFw*(1/365)*1*s_ETw*(1/24)*s_GSFa)/s_Aeq_Feq!C23,0)</f>
        <v>21.878121878121878</v>
      </c>
      <c r="AB26" s="60">
        <f t="shared" si="22"/>
        <v>3.9952742655445361E-3</v>
      </c>
    </row>
    <row r="27" spans="1:37" x14ac:dyDescent="0.25">
      <c r="A27" s="23" t="s">
        <v>110</v>
      </c>
      <c r="B27" s="60">
        <f t="shared" si="17"/>
        <v>68743.33736248943</v>
      </c>
      <c r="C27" s="60">
        <f t="shared" si="18"/>
        <v>68.743337362489427</v>
      </c>
      <c r="D27" s="60">
        <f>(C27/1000)*s_Aeq_Feq!E24</f>
        <v>0</v>
      </c>
      <c r="E27" s="60"/>
      <c r="F27" s="60"/>
      <c r="G27" s="60"/>
      <c r="H27" s="60">
        <f>IFERROR((s_DL)/(up_isospec!D24*s_IFAres_adj_d)/s_Aeq_Feq!B24,0)</f>
        <v>68786.386027765358</v>
      </c>
      <c r="I27" s="60">
        <f>IFERROR((s_DL)/(up_isospec!E24*s_EFres*(1/365)*1*s_ETres*(1/24)*s_GSFa)/s_Aeq_Feq!B24,0)</f>
        <v>109843260.18808779</v>
      </c>
      <c r="J27" s="60">
        <f t="shared" si="19"/>
        <v>68743.33736248943</v>
      </c>
      <c r="T27" s="60">
        <f t="shared" si="20"/>
        <v>20059.032174596017</v>
      </c>
      <c r="U27" s="60">
        <f t="shared" si="21"/>
        <v>20.059032174596016</v>
      </c>
      <c r="V27" s="60">
        <f>(U27/1000)*s_Aeq_Feq!G24</f>
        <v>0</v>
      </c>
      <c r="W27" s="60"/>
      <c r="X27" s="60"/>
      <c r="Y27" s="60"/>
      <c r="Z27" s="60">
        <f>IFERROR((s_DL)/(up_isospec!D24*s_EFw*1*s_ETw*(1/24)*s_IRAw)/s_Aeq_Feq!C24,0)</f>
        <v>20062.695924764892</v>
      </c>
      <c r="AA27" s="60">
        <f>IFERROR((s_DL)/(up_isospec!E24*s_EFw*(1/365)*1*s_ETw*(1/24)*s_GSFa)/s_Aeq_Feq!C24,0)</f>
        <v>109843260.18808779</v>
      </c>
      <c r="AB27" s="60">
        <f t="shared" si="22"/>
        <v>20059.032174596017</v>
      </c>
    </row>
    <row r="28" spans="1:37" x14ac:dyDescent="0.25">
      <c r="A28" s="23" t="s">
        <v>177</v>
      </c>
      <c r="B28" s="60">
        <f t="shared" si="17"/>
        <v>0</v>
      </c>
      <c r="C28" s="60">
        <f t="shared" si="18"/>
        <v>0</v>
      </c>
      <c r="D28" s="60">
        <f>(C28/1000)*s_Aeq_Feq!E25</f>
        <v>0</v>
      </c>
      <c r="E28" s="60"/>
      <c r="F28" s="60"/>
      <c r="G28" s="60"/>
      <c r="H28" s="60">
        <f>IFERROR((s_DL)/(up_isospec!D25*s_IFAres_adj_d)/s_Aeq_Feq!B25,0)</f>
        <v>0</v>
      </c>
      <c r="I28" s="60">
        <f>IFERROR((s_DL)/(up_isospec!E25*s_EFres*(1/365)*1*s_ETres*(1/24)*s_GSFa)/s_Aeq_Feq!B25,0)</f>
        <v>0</v>
      </c>
      <c r="J28" s="60">
        <f t="shared" si="19"/>
        <v>0</v>
      </c>
      <c r="T28" s="60">
        <f t="shared" si="20"/>
        <v>0</v>
      </c>
      <c r="U28" s="60">
        <f t="shared" si="21"/>
        <v>0</v>
      </c>
      <c r="V28" s="60">
        <f>(U28/1000)*s_Aeq_Feq!G25</f>
        <v>0</v>
      </c>
      <c r="W28" s="60"/>
      <c r="X28" s="60"/>
      <c r="Y28" s="60"/>
      <c r="Z28" s="60">
        <f>IFERROR((s_DL)/(up_isospec!D25*s_EFw*1*s_ETw*(1/24)*s_IRAw)/s_Aeq_Feq!C25,0)</f>
        <v>0</v>
      </c>
      <c r="AA28" s="60">
        <f>IFERROR((s_DL)/(up_isospec!E25*s_EFw*(1/365)*1*s_ETw*(1/24)*s_GSFa)/s_Aeq_Feq!C25,0)</f>
        <v>0</v>
      </c>
      <c r="AB28" s="60">
        <f t="shared" si="22"/>
        <v>0</v>
      </c>
    </row>
    <row r="29" spans="1:37" x14ac:dyDescent="0.25">
      <c r="A29" s="23" t="s">
        <v>112</v>
      </c>
      <c r="B29" s="60">
        <f t="shared" si="17"/>
        <v>1078.7644932425289</v>
      </c>
      <c r="C29" s="60">
        <f t="shared" si="18"/>
        <v>1.0787644932425289</v>
      </c>
      <c r="D29" s="60">
        <f>(C29/1000)*s_Aeq_Feq!E26</f>
        <v>0</v>
      </c>
      <c r="E29" s="60"/>
      <c r="F29" s="60"/>
      <c r="G29" s="60"/>
      <c r="H29" s="60">
        <f>IFERROR((s_DL)/(up_isospec!D26*s_IFAres_adj_d)/s_Aeq_Feq!B26,0)</f>
        <v>1079.4400404790017</v>
      </c>
      <c r="I29" s="60">
        <f>IFERROR((s_DL)/(up_isospec!E26*s_EFres*(1/365)*1*s_ETres*(1/24)*s_GSFa)/s_Aeq_Feq!B26,0)</f>
        <v>1723730.8146399057</v>
      </c>
      <c r="J29" s="60">
        <f t="shared" si="19"/>
        <v>1078.7644932425289</v>
      </c>
      <c r="T29" s="60">
        <f t="shared" si="20"/>
        <v>314.7791845580544</v>
      </c>
      <c r="U29" s="60">
        <f t="shared" si="21"/>
        <v>0.31477918455805437</v>
      </c>
      <c r="V29" s="60">
        <f>(U29/1000)*s_Aeq_Feq!G26</f>
        <v>0</v>
      </c>
      <c r="W29" s="60"/>
      <c r="X29" s="60"/>
      <c r="Y29" s="60"/>
      <c r="Z29" s="60">
        <f>IFERROR((s_DL)/(up_isospec!D26*s_EFw*1*s_ETw*(1/24)*s_IRAw)/s_Aeq_Feq!C26,0)</f>
        <v>314.83667847304213</v>
      </c>
      <c r="AA29" s="60">
        <f>IFERROR((s_DL)/(up_isospec!E26*s_EFw*(1/365)*1*s_ETw*(1/24)*s_GSFa)/s_Aeq_Feq!C26,0)</f>
        <v>1723730.8146399057</v>
      </c>
      <c r="AB29" s="60">
        <f t="shared" si="22"/>
        <v>314.7791845580544</v>
      </c>
    </row>
    <row r="30" spans="1:37" ht="19.5" thickBot="1" x14ac:dyDescent="0.35">
      <c r="A30" s="57"/>
      <c r="B30" s="116" t="s">
        <v>133</v>
      </c>
      <c r="C30" s="116"/>
      <c r="D30" s="116"/>
      <c r="E30" s="116"/>
      <c r="F30" s="116"/>
      <c r="G30" s="116"/>
      <c r="H30" s="116" t="s">
        <v>133</v>
      </c>
      <c r="I30" s="116"/>
      <c r="J30" s="116"/>
      <c r="K30" s="116"/>
      <c r="L30" s="116"/>
      <c r="M30" s="116"/>
      <c r="N30" s="116" t="s">
        <v>133</v>
      </c>
      <c r="O30" s="116"/>
      <c r="P30" s="116"/>
      <c r="Q30" s="116"/>
      <c r="R30" s="116"/>
      <c r="S30" s="116"/>
      <c r="T30" s="117" t="s">
        <v>134</v>
      </c>
      <c r="U30" s="117"/>
      <c r="V30" s="117"/>
      <c r="W30" s="117"/>
      <c r="X30" s="117"/>
      <c r="Y30" s="117"/>
      <c r="Z30" s="117" t="s">
        <v>134</v>
      </c>
      <c r="AA30" s="117"/>
      <c r="AB30" s="117"/>
      <c r="AC30" s="117"/>
      <c r="AD30" s="117"/>
      <c r="AE30" s="117"/>
      <c r="AF30" s="117" t="s">
        <v>134</v>
      </c>
      <c r="AG30" s="117"/>
      <c r="AH30" s="117"/>
      <c r="AI30" s="117"/>
      <c r="AJ30" s="117"/>
      <c r="AK30" s="117"/>
    </row>
    <row r="31" spans="1:37" ht="16.5" customHeight="1" x14ac:dyDescent="0.25">
      <c r="A31" s="62" t="s">
        <v>81</v>
      </c>
      <c r="B31" s="118" t="s">
        <v>178</v>
      </c>
      <c r="C31" s="112" t="s">
        <v>127</v>
      </c>
      <c r="D31" s="113"/>
      <c r="E31" s="112" t="s">
        <v>180</v>
      </c>
      <c r="F31" s="114"/>
      <c r="G31" s="115"/>
      <c r="H31" s="120" t="s">
        <v>151</v>
      </c>
      <c r="I31" s="112" t="s">
        <v>129</v>
      </c>
      <c r="J31" s="113"/>
      <c r="K31" s="112" t="s">
        <v>181</v>
      </c>
      <c r="L31" s="114"/>
      <c r="M31" s="115"/>
      <c r="N31" s="120" t="s">
        <v>152</v>
      </c>
      <c r="O31" s="112" t="s">
        <v>131</v>
      </c>
      <c r="P31" s="113"/>
      <c r="Q31" s="112" t="s">
        <v>182</v>
      </c>
      <c r="R31" s="114"/>
      <c r="S31" s="115"/>
      <c r="T31" s="118" t="s">
        <v>178</v>
      </c>
      <c r="U31" s="112" t="s">
        <v>127</v>
      </c>
      <c r="V31" s="113"/>
      <c r="W31" s="112" t="s">
        <v>180</v>
      </c>
      <c r="X31" s="114"/>
      <c r="Y31" s="115"/>
      <c r="Z31" s="110" t="s">
        <v>126</v>
      </c>
      <c r="AA31" s="112" t="s">
        <v>129</v>
      </c>
      <c r="AB31" s="113"/>
      <c r="AC31" s="112" t="s">
        <v>181</v>
      </c>
      <c r="AD31" s="114"/>
      <c r="AE31" s="115"/>
      <c r="AF31" s="110" t="s">
        <v>128</v>
      </c>
      <c r="AG31" s="112" t="s">
        <v>131</v>
      </c>
      <c r="AH31" s="113"/>
      <c r="AI31" s="112" t="s">
        <v>182</v>
      </c>
      <c r="AJ31" s="114"/>
      <c r="AK31" s="115"/>
    </row>
    <row r="32" spans="1:37" ht="16.5" customHeight="1" x14ac:dyDescent="0.25">
      <c r="A32" s="57" t="s">
        <v>77</v>
      </c>
      <c r="B32" s="119"/>
      <c r="C32" s="63" t="s">
        <v>120</v>
      </c>
      <c r="D32" s="64" t="s">
        <v>121</v>
      </c>
      <c r="E32" s="63" t="s">
        <v>183</v>
      </c>
      <c r="F32" s="65" t="s">
        <v>184</v>
      </c>
      <c r="G32" s="66" t="s">
        <v>185</v>
      </c>
      <c r="H32" s="121"/>
      <c r="I32" s="63" t="s">
        <v>120</v>
      </c>
      <c r="J32" s="64" t="s">
        <v>121</v>
      </c>
      <c r="K32" s="63" t="s">
        <v>183</v>
      </c>
      <c r="L32" s="65" t="s">
        <v>184</v>
      </c>
      <c r="M32" s="66" t="s">
        <v>185</v>
      </c>
      <c r="N32" s="121"/>
      <c r="O32" s="63" t="s">
        <v>120</v>
      </c>
      <c r="P32" s="64" t="s">
        <v>121</v>
      </c>
      <c r="Q32" s="63" t="s">
        <v>183</v>
      </c>
      <c r="R32" s="65" t="s">
        <v>184</v>
      </c>
      <c r="S32" s="66" t="s">
        <v>185</v>
      </c>
      <c r="T32" s="119"/>
      <c r="U32" s="63" t="s">
        <v>120</v>
      </c>
      <c r="V32" s="64" t="s">
        <v>121</v>
      </c>
      <c r="W32" s="63" t="s">
        <v>183</v>
      </c>
      <c r="X32" s="65" t="s">
        <v>184</v>
      </c>
      <c r="Y32" s="66" t="s">
        <v>185</v>
      </c>
      <c r="Z32" s="111"/>
      <c r="AA32" s="63" t="s">
        <v>120</v>
      </c>
      <c r="AB32" s="64" t="s">
        <v>121</v>
      </c>
      <c r="AC32" s="63" t="s">
        <v>183</v>
      </c>
      <c r="AD32" s="65" t="s">
        <v>184</v>
      </c>
      <c r="AE32" s="66" t="s">
        <v>185</v>
      </c>
      <c r="AF32" s="111"/>
      <c r="AG32" s="63" t="s">
        <v>120</v>
      </c>
      <c r="AH32" s="64" t="s">
        <v>121</v>
      </c>
      <c r="AI32" s="63" t="s">
        <v>183</v>
      </c>
      <c r="AJ32" s="65" t="s">
        <v>184</v>
      </c>
      <c r="AK32" s="66" t="s">
        <v>185</v>
      </c>
    </row>
    <row r="33" spans="1:37" x14ac:dyDescent="0.25">
      <c r="A33" s="57" t="str">
        <f>up_isospec!A2</f>
        <v>Rn-219</v>
      </c>
      <c r="B33" s="102" t="s">
        <v>169</v>
      </c>
      <c r="C33" s="103" t="s">
        <v>179</v>
      </c>
      <c r="D33" s="104">
        <f>Cia_219*(s_Aeq_Feq!$E$2)</f>
        <v>4.5950874382716051E-3</v>
      </c>
      <c r="E33" s="67">
        <f>SUM(E34:E39)</f>
        <v>6084052.7343749991</v>
      </c>
      <c r="F33" s="68">
        <f>SUM(F34:F39)</f>
        <v>3809.9743150684926</v>
      </c>
      <c r="G33" s="69">
        <f>SUM(E33:F33)</f>
        <v>6087862.7086900678</v>
      </c>
      <c r="H33" s="102" t="s">
        <v>169</v>
      </c>
      <c r="I33" s="103" t="s">
        <v>179</v>
      </c>
      <c r="J33" s="104">
        <f>(H34/1000)*(s_Aeq_Feq!$E$2)</f>
        <v>1.9431824377006658E-3</v>
      </c>
      <c r="K33" s="67">
        <f>SUM(K34:K39)</f>
        <v>2572839.9257466788</v>
      </c>
      <c r="L33" s="68">
        <f>SUM(L34:L39)</f>
        <v>1611.1717734617171</v>
      </c>
      <c r="M33" s="69">
        <f>SUM(K33:L33)</f>
        <v>2574451.0975201405</v>
      </c>
      <c r="N33" s="102" t="s">
        <v>169</v>
      </c>
      <c r="O33" s="103" t="s">
        <v>179</v>
      </c>
      <c r="P33" s="104">
        <f>(N34/1000)*(s_Aeq_Feq!$E$2)</f>
        <v>2.2975437191358025E-7</v>
      </c>
      <c r="Q33" s="67">
        <f>SUM(Q34:Q39)</f>
        <v>304.20263671874994</v>
      </c>
      <c r="R33" s="68">
        <f>SUM(R34:R39)</f>
        <v>0.19049871575342464</v>
      </c>
      <c r="S33" s="69">
        <f>SUM(Q33:R33)</f>
        <v>304.39313543450339</v>
      </c>
      <c r="T33" s="102" t="s">
        <v>169</v>
      </c>
      <c r="U33" s="103" t="s">
        <v>179</v>
      </c>
      <c r="V33" s="104">
        <f>Cia_222*(s_Aeq_Feq!$G$2)</f>
        <v>4.5950874382716051E-3</v>
      </c>
      <c r="W33" s="67">
        <f>SUM(W34:W39)</f>
        <v>20859609.375</v>
      </c>
      <c r="X33" s="68">
        <f>SUM(X34:X39)</f>
        <v>3809.9743150684926</v>
      </c>
      <c r="Y33" s="69">
        <f>SUM(W33:X33)</f>
        <v>20863419.34931507</v>
      </c>
      <c r="Z33" s="102" t="s">
        <v>169</v>
      </c>
      <c r="AA33" s="103" t="s">
        <v>179</v>
      </c>
      <c r="AB33" s="104">
        <f>(Z34/1000)*(s_Aeq_Feq!$G$2)</f>
        <v>1.9431824377006658E-3</v>
      </c>
      <c r="AC33" s="67">
        <f>SUM(AC34:AC39)</f>
        <v>8821165.4597028997</v>
      </c>
      <c r="AD33" s="68">
        <f>SUM(AD34:AD39)</f>
        <v>1611.1717734617171</v>
      </c>
      <c r="AE33" s="69">
        <f>SUM(AC33:AD33)</f>
        <v>8822776.6314763613</v>
      </c>
      <c r="AF33" s="102" t="s">
        <v>169</v>
      </c>
      <c r="AG33" s="103" t="s">
        <v>179</v>
      </c>
      <c r="AH33" s="104">
        <f>(AF34/1000)*(s_Aeq_Feq!$G$2)</f>
        <v>2.2975437191358025E-7</v>
      </c>
      <c r="AI33" s="67">
        <f>SUM(AI34:AI39)</f>
        <v>1042.9804687499998</v>
      </c>
      <c r="AJ33" s="68">
        <f>SUM(AJ34:AJ39)</f>
        <v>0.19049871575342464</v>
      </c>
      <c r="AK33" s="69">
        <f>SUM(AI33:AJ33)</f>
        <v>1043.1709674657532</v>
      </c>
    </row>
    <row r="34" spans="1:37" x14ac:dyDescent="0.25">
      <c r="A34" s="57" t="str">
        <f>up_isospec!A2</f>
        <v>Rn-219</v>
      </c>
      <c r="B34" s="75">
        <f>Cia_219*1000</f>
        <v>5000</v>
      </c>
      <c r="C34" s="71">
        <f t="shared" ref="C34:C39" si="23">IFERROR(B34*s_IFAres_adj_d,".")</f>
        <v>501302.08333333331</v>
      </c>
      <c r="D34" s="72">
        <f t="shared" ref="D34:D39" si="24">IFERROR(B34*s_EFres*(1/365)*1*s_ETres*(1/24)*s_GSFa,".")</f>
        <v>313.92694063926939</v>
      </c>
      <c r="E34" s="71">
        <f>C34*up_isospec!$D2</f>
        <v>2506510.4166666665</v>
      </c>
      <c r="F34" s="73">
        <f>D34*up_isospec!$E2</f>
        <v>1569.6347031963469</v>
      </c>
      <c r="G34" s="74">
        <f>SUM(E34:F34)</f>
        <v>2508080.0513698626</v>
      </c>
      <c r="H34" s="70">
        <f>IFERROR(Cia_219*(s_AFgw*1000*up_isospec!$M2),".")</f>
        <v>2114.4129070496797</v>
      </c>
      <c r="I34" s="71">
        <f t="shared" ref="I34:I39" si="25">IFERROR(H34*s_IFAres_adj_d,".")</f>
        <v>211991.91906617882</v>
      </c>
      <c r="J34" s="72">
        <f t="shared" ref="J34:J39" si="26">IFERROR(H34*s_EFres*(1/365)*1*s_ETres*(1/24)*s_GSFa,".")</f>
        <v>132.75423503165797</v>
      </c>
      <c r="K34" s="71">
        <f>IFERROR(I34*up_isospec!$D2,".")</f>
        <v>1059959.595330894</v>
      </c>
      <c r="L34" s="73">
        <f>IFERROR(J34*up_isospec!$E2,".")</f>
        <v>663.77117515828991</v>
      </c>
      <c r="M34" s="74">
        <f>SUM(K34:L34)</f>
        <v>1060623.3665060522</v>
      </c>
      <c r="N34" s="70">
        <f>Cia_219*s_AFss</f>
        <v>0.25</v>
      </c>
      <c r="O34" s="71">
        <f t="shared" ref="O34:O39" si="27">IFERROR(N34*s_IFAres_adj_d,".")</f>
        <v>25.065104166666664</v>
      </c>
      <c r="P34" s="72">
        <f t="shared" ref="P34:P39" si="28">IFERROR(N34*s_EFres*(1/365)*1*s_ETres*(1/24)*s_GSFa,".")</f>
        <v>1.5696347031963466E-2</v>
      </c>
      <c r="Q34" s="71">
        <f>O34*up_isospec!$D2</f>
        <v>125.32552083333331</v>
      </c>
      <c r="R34" s="73">
        <f>P34*up_isospec!$E2</f>
        <v>7.8481735159817323E-2</v>
      </c>
      <c r="S34" s="74">
        <f>SUM(Q34:R34)</f>
        <v>125.40400256849313</v>
      </c>
      <c r="T34" s="75">
        <f>Cia_219*1000</f>
        <v>5000</v>
      </c>
      <c r="U34" s="71">
        <f>IFERROR(T34*s_EFw*1*s_ETw*(1/24)*s_IRAw,".")</f>
        <v>1718750</v>
      </c>
      <c r="V34" s="72">
        <f>IFERROR(T34*s_EFw*(1/365)*1*s_ETw*(1/24)*s_GSFa,".")</f>
        <v>313.92694063926939</v>
      </c>
      <c r="W34" s="71">
        <f>U34*up_isospec!$D2</f>
        <v>8593750</v>
      </c>
      <c r="X34" s="73">
        <f>V34*up_isospec!$E2</f>
        <v>1569.6347031963469</v>
      </c>
      <c r="Y34" s="74">
        <f>SUM(W34:X34)</f>
        <v>8595319.6347031966</v>
      </c>
      <c r="Z34" s="70">
        <f>IFERROR(Cia_219*(s_AFgw*1000*up_isospec!$M2),".")</f>
        <v>2114.4129070496797</v>
      </c>
      <c r="AA34" s="71">
        <f>IFERROR(Z34*s_EFw*1*s_ETw*(1/24)*s_IRAw,".")</f>
        <v>726829.43679832737</v>
      </c>
      <c r="AB34" s="72">
        <f>IFERROR(Z34*s_EFw*(1/365)*1*s_ETw*(1/24)*s_GSFa,".")</f>
        <v>132.75423503165797</v>
      </c>
      <c r="AC34" s="71">
        <f>IFERROR(AA34*up_isospec!$D2,".")</f>
        <v>3634147.1839916371</v>
      </c>
      <c r="AD34" s="73">
        <f>IFERROR(AB34*up_isospec!$E2,".")</f>
        <v>663.77117515828991</v>
      </c>
      <c r="AE34" s="74">
        <f>SUM(AC34:AD34)</f>
        <v>3634810.9551667953</v>
      </c>
      <c r="AF34" s="70">
        <f>Cia_219*s_AFss</f>
        <v>0.25</v>
      </c>
      <c r="AG34" s="71">
        <f>IFERROR(AF34*s_EFw*1*s_ETw*(1/24)*s_IRAw,".")</f>
        <v>85.937499999999986</v>
      </c>
      <c r="AH34" s="72">
        <f>IFERROR(AF34*s_EFw*(1/365)*1*s_ETw*(1/24)*s_GSFa,".")</f>
        <v>1.5696347031963466E-2</v>
      </c>
      <c r="AI34" s="71">
        <f>AG34*up_isospec!$D2</f>
        <v>429.68749999999994</v>
      </c>
      <c r="AJ34" s="73">
        <f>AH34*up_isospec!$E2</f>
        <v>7.8481735159817323E-2</v>
      </c>
      <c r="AK34" s="74">
        <f>SUM(AI34:AJ34)</f>
        <v>429.76598173515976</v>
      </c>
    </row>
    <row r="35" spans="1:37" x14ac:dyDescent="0.25">
      <c r="A35" s="57" t="str">
        <f>up_isospec!A3</f>
        <v>Rn-219~Bi-211</v>
      </c>
      <c r="B35" s="70">
        <f>B$34*s_Aeq_Feq!$B3</f>
        <v>743.99999999999989</v>
      </c>
      <c r="C35" s="71">
        <f t="shared" si="23"/>
        <v>74593.749999999985</v>
      </c>
      <c r="D35" s="72">
        <f t="shared" si="24"/>
        <v>46.712328767123275</v>
      </c>
      <c r="E35" s="71">
        <f>C35*up_isospec!$D3</f>
        <v>372968.74999999994</v>
      </c>
      <c r="F35" s="73">
        <f>D35*up_isospec!$E3</f>
        <v>233.56164383561637</v>
      </c>
      <c r="G35" s="74">
        <f t="shared" ref="G35:G39" si="29">SUM(E35:F35)</f>
        <v>373202.31164383556</v>
      </c>
      <c r="H35" s="70">
        <f>H$34*s_Aeq_Feq!$B3</f>
        <v>314.62464056899233</v>
      </c>
      <c r="I35" s="71">
        <f t="shared" si="25"/>
        <v>31544.397557047407</v>
      </c>
      <c r="J35" s="72">
        <f t="shared" si="26"/>
        <v>19.753830172710707</v>
      </c>
      <c r="K35" s="71">
        <f>IFERROR(I35*up_isospec!$D3,".")</f>
        <v>157721.98778523703</v>
      </c>
      <c r="L35" s="73">
        <f>IFERROR(J35*up_isospec!$E3,".")</f>
        <v>98.769150863553534</v>
      </c>
      <c r="M35" s="74">
        <f t="shared" ref="M35:M39" si="30">SUM(K35:L35)</f>
        <v>157820.75693610057</v>
      </c>
      <c r="N35" s="70">
        <f>N$34*s_Aeq_Feq!$B3</f>
        <v>3.7199999999999997E-2</v>
      </c>
      <c r="O35" s="71">
        <f t="shared" si="27"/>
        <v>3.7296874999999994</v>
      </c>
      <c r="P35" s="72">
        <f t="shared" si="28"/>
        <v>2.3356164383561639E-3</v>
      </c>
      <c r="Q35" s="71">
        <f>O35*up_isospec!$D3</f>
        <v>18.648437499999996</v>
      </c>
      <c r="R35" s="73">
        <f>P35*up_isospec!$E3</f>
        <v>1.167808219178082E-2</v>
      </c>
      <c r="S35" s="74">
        <f t="shared" ref="S35:S39" si="31">SUM(Q35:R35)</f>
        <v>18.660115582191779</v>
      </c>
      <c r="T35" s="70">
        <f>T$34*s_Aeq_Feq!$C3</f>
        <v>743.99999999999989</v>
      </c>
      <c r="U35" s="71">
        <f>IFERROR(T35*s_EFw*1*s_ETw*(1/24)*s_IRAw,".")</f>
        <v>255749.99999999994</v>
      </c>
      <c r="V35" s="72">
        <f>IFERROR(T35*s_EFw*(1/365)*1*s_ETw*(1/24)*s_GSFa,".")</f>
        <v>46.712328767123275</v>
      </c>
      <c r="W35" s="71">
        <f>U35*up_isospec!$D3</f>
        <v>1278749.9999999998</v>
      </c>
      <c r="X35" s="73">
        <f>V35*up_isospec!$E3</f>
        <v>233.56164383561637</v>
      </c>
      <c r="Y35" s="74">
        <f t="shared" ref="Y35:Y39" si="32">SUM(W35:X35)</f>
        <v>1278983.5616438354</v>
      </c>
      <c r="Z35" s="70">
        <f>Z$34*s_Aeq_Feq!$C3</f>
        <v>314.62464056899233</v>
      </c>
      <c r="AA35" s="71">
        <f>IFERROR(Z35*s_EFw*1*s_ETw*(1/24)*s_IRAw,".")</f>
        <v>108152.22019559113</v>
      </c>
      <c r="AB35" s="72">
        <f>IFERROR(Z35*s_EFw*(1/365)*1*s_ETw*(1/24)*s_GSFa,".")</f>
        <v>19.753830172710707</v>
      </c>
      <c r="AC35" s="71">
        <f>IFERROR(AA35*up_isospec!$D3,".")</f>
        <v>540761.10097795562</v>
      </c>
      <c r="AD35" s="73">
        <f>IFERROR(AB35*up_isospec!$E3,".")</f>
        <v>98.769150863553534</v>
      </c>
      <c r="AE35" s="74">
        <f t="shared" ref="AE35:AE39" si="33">SUM(AC35:AD35)</f>
        <v>540859.87012881914</v>
      </c>
      <c r="AF35" s="70">
        <f>AF$34*s_Aeq_Feq!$C3</f>
        <v>3.7199999999999997E-2</v>
      </c>
      <c r="AG35" s="71">
        <f>IFERROR(AF35*s_EFw*1*s_ETw*(1/24)*s_IRAw,".")</f>
        <v>12.787499999999998</v>
      </c>
      <c r="AH35" s="72">
        <f>IFERROR(AF35*s_EFw*(1/365)*1*s_ETw*(1/24)*s_GSFa,".")</f>
        <v>2.3356164383561639E-3</v>
      </c>
      <c r="AI35" s="71">
        <f>AG35*up_isospec!$D3</f>
        <v>63.937499999999986</v>
      </c>
      <c r="AJ35" s="73">
        <f>AH35*up_isospec!$E3</f>
        <v>1.167808219178082E-2</v>
      </c>
      <c r="AK35" s="74">
        <f t="shared" ref="AK35:AK39" si="34">SUM(AI35:AJ35)</f>
        <v>63.949178082191764</v>
      </c>
    </row>
    <row r="36" spans="1:37" x14ac:dyDescent="0.25">
      <c r="A36" s="57" t="str">
        <f>up_isospec!A4</f>
        <v>Rn-219~Pb-211</v>
      </c>
      <c r="B36" s="70">
        <f>B$34*s_Aeq_Feq!$B4</f>
        <v>935.49999999999989</v>
      </c>
      <c r="C36" s="71">
        <f t="shared" si="23"/>
        <v>93793.619791666642</v>
      </c>
      <c r="D36" s="72">
        <f t="shared" si="24"/>
        <v>58.7357305936073</v>
      </c>
      <c r="E36" s="71">
        <f>C36*up_isospec!$D4</f>
        <v>468968.0989583332</v>
      </c>
      <c r="F36" s="73">
        <f>D36*up_isospec!$E4</f>
        <v>293.67865296803649</v>
      </c>
      <c r="G36" s="74">
        <f t="shared" si="29"/>
        <v>469261.77761130122</v>
      </c>
      <c r="H36" s="70">
        <f>H$34*s_Aeq_Feq!$B4</f>
        <v>395.60665490899504</v>
      </c>
      <c r="I36" s="71">
        <f t="shared" si="25"/>
        <v>39663.688057282052</v>
      </c>
      <c r="J36" s="72">
        <f t="shared" si="26"/>
        <v>24.838317374423202</v>
      </c>
      <c r="K36" s="71">
        <f>IFERROR(I36*up_isospec!$D4,".")</f>
        <v>198318.44028641027</v>
      </c>
      <c r="L36" s="73">
        <f>IFERROR(J36*up_isospec!$E4,".")</f>
        <v>124.19158687211601</v>
      </c>
      <c r="M36" s="74">
        <f t="shared" si="30"/>
        <v>198442.6318732824</v>
      </c>
      <c r="N36" s="70">
        <f>N$34*s_Aeq_Feq!$B4</f>
        <v>4.6774999999999997E-2</v>
      </c>
      <c r="O36" s="71">
        <f t="shared" si="27"/>
        <v>4.6896809895833327</v>
      </c>
      <c r="P36" s="72">
        <f t="shared" si="28"/>
        <v>2.9367865296803649E-3</v>
      </c>
      <c r="Q36" s="71">
        <f>O36*up_isospec!$D4</f>
        <v>23.448404947916664</v>
      </c>
      <c r="R36" s="73">
        <f>P36*up_isospec!$E4</f>
        <v>1.4683932648401826E-2</v>
      </c>
      <c r="S36" s="74">
        <f t="shared" si="31"/>
        <v>23.463088880565067</v>
      </c>
      <c r="T36" s="70">
        <f>T$34*s_Aeq_Feq!$C4</f>
        <v>935.49999999999989</v>
      </c>
      <c r="U36" s="71">
        <f>IFERROR(T36*s_EFw*1*s_ETw*(1/24)*s_IRAw,".")</f>
        <v>321578.12499999994</v>
      </c>
      <c r="V36" s="72">
        <f>IFERROR(T36*s_EFw*(1/365)*1*s_ETw*(1/24)*s_GSFa,".")</f>
        <v>58.7357305936073</v>
      </c>
      <c r="W36" s="71">
        <f>U36*up_isospec!$D4</f>
        <v>1607890.6249999998</v>
      </c>
      <c r="X36" s="73">
        <f>V36*up_isospec!$E4</f>
        <v>293.67865296803649</v>
      </c>
      <c r="Y36" s="74">
        <f t="shared" si="32"/>
        <v>1608184.3036529678</v>
      </c>
      <c r="Z36" s="70">
        <f>Z$34*s_Aeq_Feq!$C4</f>
        <v>395.60665490899504</v>
      </c>
      <c r="AA36" s="71">
        <f>IFERROR(Z36*s_EFw*1*s_ETw*(1/24)*s_IRAw,".")</f>
        <v>135989.78762496702</v>
      </c>
      <c r="AB36" s="72">
        <f>IFERROR(Z36*s_EFw*(1/365)*1*s_ETw*(1/24)*s_GSFa,".")</f>
        <v>24.838317374423202</v>
      </c>
      <c r="AC36" s="71">
        <f>IFERROR(AA36*up_isospec!$D4,".")</f>
        <v>679948.93812483514</v>
      </c>
      <c r="AD36" s="73">
        <f>IFERROR(AB36*up_isospec!$E4,".")</f>
        <v>124.19158687211601</v>
      </c>
      <c r="AE36" s="74">
        <f t="shared" si="33"/>
        <v>680073.12971170724</v>
      </c>
      <c r="AF36" s="70">
        <f>AF$34*s_Aeq_Feq!$C4</f>
        <v>4.6774999999999997E-2</v>
      </c>
      <c r="AG36" s="71">
        <f>IFERROR(AF36*s_EFw*1*s_ETw*(1/24)*s_IRAw,".")</f>
        <v>16.078906249999999</v>
      </c>
      <c r="AH36" s="72">
        <f>IFERROR(AF36*s_EFw*(1/365)*1*s_ETw*(1/24)*s_GSFa,".")</f>
        <v>2.9367865296803649E-3</v>
      </c>
      <c r="AI36" s="71">
        <f>AG36*up_isospec!$D4</f>
        <v>80.39453125</v>
      </c>
      <c r="AJ36" s="73">
        <f>AH36*up_isospec!$E4</f>
        <v>1.4683932648401826E-2</v>
      </c>
      <c r="AK36" s="74">
        <f t="shared" si="34"/>
        <v>80.409215182648396</v>
      </c>
    </row>
    <row r="37" spans="1:37" x14ac:dyDescent="0.25">
      <c r="A37" s="57" t="str">
        <f>up_isospec!A5</f>
        <v>Rn-219~Po-211</v>
      </c>
      <c r="B37" s="70">
        <f>B$34*s_Aeq_Feq!$B5</f>
        <v>2</v>
      </c>
      <c r="C37" s="71">
        <f t="shared" si="23"/>
        <v>200.52083333333331</v>
      </c>
      <c r="D37" s="72">
        <f t="shared" si="24"/>
        <v>0.12557077625570773</v>
      </c>
      <c r="E37" s="71">
        <f>C37*up_isospec!$D5</f>
        <v>1002.6041666666665</v>
      </c>
      <c r="F37" s="73">
        <f>D37*up_isospec!$E5</f>
        <v>0.62785388127853858</v>
      </c>
      <c r="G37" s="74">
        <f t="shared" si="29"/>
        <v>1003.232020547945</v>
      </c>
      <c r="H37" s="70">
        <f>H$34*s_Aeq_Feq!$B5</f>
        <v>0.84576516281987191</v>
      </c>
      <c r="I37" s="71">
        <f t="shared" si="25"/>
        <v>84.796767626471521</v>
      </c>
      <c r="J37" s="72">
        <f t="shared" si="26"/>
        <v>5.3101694012663188E-2</v>
      </c>
      <c r="K37" s="71">
        <f>IFERROR(I37*up_isospec!$D5,".")</f>
        <v>423.98383813235762</v>
      </c>
      <c r="L37" s="73">
        <f>IFERROR(J37*up_isospec!$E5,".")</f>
        <v>0.26550847006331596</v>
      </c>
      <c r="M37" s="74">
        <f t="shared" si="30"/>
        <v>424.24934660242093</v>
      </c>
      <c r="N37" s="70">
        <f>N$34*s_Aeq_Feq!$B5</f>
        <v>1E-4</v>
      </c>
      <c r="O37" s="71">
        <f t="shared" si="27"/>
        <v>1.0026041666666666E-2</v>
      </c>
      <c r="P37" s="72">
        <f t="shared" si="28"/>
        <v>6.2785388127853883E-6</v>
      </c>
      <c r="Q37" s="71">
        <f>O37*up_isospec!$D5</f>
        <v>5.0130208333333329E-2</v>
      </c>
      <c r="R37" s="73">
        <f>P37*up_isospec!$E5</f>
        <v>3.1392694063926944E-5</v>
      </c>
      <c r="S37" s="74">
        <f t="shared" si="31"/>
        <v>5.0161601027397258E-2</v>
      </c>
      <c r="T37" s="70">
        <f>T$34*s_Aeq_Feq!$C5</f>
        <v>2</v>
      </c>
      <c r="U37" s="71">
        <f>IFERROR(T37*s_EFw*1*s_ETw*(1/24)*s_IRAw,".")</f>
        <v>687.49999999999989</v>
      </c>
      <c r="V37" s="72">
        <f>IFERROR(T37*s_EFw*(1/365)*1*s_ETw*(1/24)*s_GSFa,".")</f>
        <v>0.12557077625570773</v>
      </c>
      <c r="W37" s="71">
        <f>U37*up_isospec!$D5</f>
        <v>3437.4999999999995</v>
      </c>
      <c r="X37" s="73">
        <f>V37*up_isospec!$E5</f>
        <v>0.62785388127853858</v>
      </c>
      <c r="Y37" s="74">
        <f t="shared" si="32"/>
        <v>3438.127853881278</v>
      </c>
      <c r="Z37" s="70">
        <f>Z$34*s_Aeq_Feq!$C5</f>
        <v>0.84576516281987191</v>
      </c>
      <c r="AA37" s="71">
        <f>IFERROR(Z37*s_EFw*1*s_ETw*(1/24)*s_IRAw,".")</f>
        <v>290.73177471933099</v>
      </c>
      <c r="AB37" s="72">
        <f>IFERROR(Z37*s_EFw*(1/365)*1*s_ETw*(1/24)*s_GSFa,".")</f>
        <v>5.3101694012663188E-2</v>
      </c>
      <c r="AC37" s="71">
        <f>IFERROR(AA37*up_isospec!$D5,".")</f>
        <v>1453.658873596655</v>
      </c>
      <c r="AD37" s="73">
        <f>IFERROR(AB37*up_isospec!$E5,".")</f>
        <v>0.26550847006331596</v>
      </c>
      <c r="AE37" s="74">
        <f t="shared" si="33"/>
        <v>1453.9243820667184</v>
      </c>
      <c r="AF37" s="70">
        <f>AF$34*s_Aeq_Feq!$C5</f>
        <v>1E-4</v>
      </c>
      <c r="AG37" s="71">
        <f>IFERROR(AF37*s_EFw*1*s_ETw*(1/24)*s_IRAw,".")</f>
        <v>3.4375000000000003E-2</v>
      </c>
      <c r="AH37" s="72">
        <f>IFERROR(AF37*s_EFw*(1/365)*1*s_ETw*(1/24)*s_GSFa,".")</f>
        <v>6.2785388127853883E-6</v>
      </c>
      <c r="AI37" s="71">
        <f>AG37*up_isospec!$D5</f>
        <v>0.171875</v>
      </c>
      <c r="AJ37" s="73">
        <f>AH37*up_isospec!$E5</f>
        <v>3.1392694063926944E-5</v>
      </c>
      <c r="AK37" s="74">
        <f t="shared" si="34"/>
        <v>0.17190639269406394</v>
      </c>
    </row>
    <row r="38" spans="1:37" x14ac:dyDescent="0.25">
      <c r="A38" s="57" t="str">
        <f>up_isospec!A6</f>
        <v>Rn-219~Po-215</v>
      </c>
      <c r="B38" s="70">
        <f>B$34*s_Aeq_Feq!$B6</f>
        <v>4983.5</v>
      </c>
      <c r="C38" s="71">
        <f t="shared" si="23"/>
        <v>499647.78645833331</v>
      </c>
      <c r="D38" s="72">
        <f t="shared" si="24"/>
        <v>312.89098173515981</v>
      </c>
      <c r="E38" s="71">
        <f>C38*up_isospec!$D6</f>
        <v>2498238.9322916665</v>
      </c>
      <c r="F38" s="73">
        <f>D38*up_isospec!$E6</f>
        <v>1564.4549086757991</v>
      </c>
      <c r="G38" s="74">
        <f t="shared" si="29"/>
        <v>2499803.3872003425</v>
      </c>
      <c r="H38" s="70">
        <f>H$34*s_Aeq_Feq!$B6</f>
        <v>2107.4353444564158</v>
      </c>
      <c r="I38" s="71">
        <f t="shared" si="25"/>
        <v>211292.34573326042</v>
      </c>
      <c r="J38" s="72">
        <f t="shared" si="26"/>
        <v>132.3161460560535</v>
      </c>
      <c r="K38" s="71">
        <f>IFERROR(I38*up_isospec!$D6,".")</f>
        <v>1056461.728666302</v>
      </c>
      <c r="L38" s="73">
        <f>IFERROR(J38*up_isospec!$E6,".")</f>
        <v>661.58073028026752</v>
      </c>
      <c r="M38" s="74">
        <f t="shared" si="30"/>
        <v>1057123.3093965824</v>
      </c>
      <c r="N38" s="70">
        <f>N$34*s_Aeq_Feq!$B6</f>
        <v>0.24917500000000001</v>
      </c>
      <c r="O38" s="71">
        <f t="shared" si="27"/>
        <v>24.982389322916664</v>
      </c>
      <c r="P38" s="72">
        <f t="shared" si="28"/>
        <v>1.564454908675799E-2</v>
      </c>
      <c r="Q38" s="71">
        <f>O38*up_isospec!$D6</f>
        <v>124.91194661458331</v>
      </c>
      <c r="R38" s="73">
        <f>P38*up_isospec!$E6</f>
        <v>7.8222745433789959E-2</v>
      </c>
      <c r="S38" s="74">
        <f t="shared" si="31"/>
        <v>124.99016936001711</v>
      </c>
      <c r="T38" s="70">
        <f>T$34*s_Aeq_Feq!$C6</f>
        <v>4983.5</v>
      </c>
      <c r="U38" s="71">
        <f>IFERROR(T38*s_EFw*1*s_ETw*(1/24)*s_IRAw,".")</f>
        <v>1713078.125</v>
      </c>
      <c r="V38" s="72">
        <f>IFERROR(T38*s_EFw*(1/365)*1*s_ETw*(1/24)*s_GSFa,".")</f>
        <v>312.89098173515981</v>
      </c>
      <c r="W38" s="71">
        <f>U38*up_isospec!$D6</f>
        <v>8565390.625</v>
      </c>
      <c r="X38" s="73">
        <f>V38*up_isospec!$E6</f>
        <v>1564.4549086757991</v>
      </c>
      <c r="Y38" s="74">
        <f t="shared" si="32"/>
        <v>8566955.0799086764</v>
      </c>
      <c r="Z38" s="70">
        <f>Z$34*s_Aeq_Feq!$C6</f>
        <v>2107.4353444564158</v>
      </c>
      <c r="AA38" s="71">
        <f>IFERROR(Z38*s_EFw*1*s_ETw*(1/24)*s_IRAw,".")</f>
        <v>724430.89965689299</v>
      </c>
      <c r="AB38" s="72">
        <f>IFERROR(Z38*s_EFw*(1/365)*1*s_ETw*(1/24)*s_GSFa,".")</f>
        <v>132.3161460560535</v>
      </c>
      <c r="AC38" s="71">
        <f>IFERROR(AA38*up_isospec!$D6,".")</f>
        <v>3622154.4982844647</v>
      </c>
      <c r="AD38" s="73">
        <f>IFERROR(AB38*up_isospec!$E6,".")</f>
        <v>661.58073028026752</v>
      </c>
      <c r="AE38" s="74">
        <f t="shared" si="33"/>
        <v>3622816.0790147451</v>
      </c>
      <c r="AF38" s="70">
        <f>AF$34*s_Aeq_Feq!$C6</f>
        <v>0.24917500000000001</v>
      </c>
      <c r="AG38" s="71">
        <f>IFERROR(AF38*s_EFw*1*s_ETw*(1/24)*s_IRAw,".")</f>
        <v>85.653906249999977</v>
      </c>
      <c r="AH38" s="72">
        <f>IFERROR(AF38*s_EFw*(1/365)*1*s_ETw*(1/24)*s_GSFa,".")</f>
        <v>1.564454908675799E-2</v>
      </c>
      <c r="AI38" s="71">
        <f>AG38*up_isospec!$D6</f>
        <v>428.26953124999989</v>
      </c>
      <c r="AJ38" s="73">
        <f>AH38*up_isospec!$E6</f>
        <v>7.8222745433789959E-2</v>
      </c>
      <c r="AK38" s="74">
        <f t="shared" si="34"/>
        <v>428.34775399543366</v>
      </c>
    </row>
    <row r="39" spans="1:37" x14ac:dyDescent="0.25">
      <c r="A39" s="57" t="str">
        <f>up_isospec!A7</f>
        <v>Rn-219~Tl-207</v>
      </c>
      <c r="B39" s="70">
        <f>B$34*s_Aeq_Feq!$B7</f>
        <v>471.5</v>
      </c>
      <c r="C39" s="71">
        <f t="shared" si="23"/>
        <v>47272.786458333328</v>
      </c>
      <c r="D39" s="72">
        <f t="shared" si="24"/>
        <v>29.603310502283101</v>
      </c>
      <c r="E39" s="71">
        <f>C39*up_isospec!$D7</f>
        <v>236363.93229166663</v>
      </c>
      <c r="F39" s="73">
        <f>D39*up_isospec!$E7</f>
        <v>148.01655251141551</v>
      </c>
      <c r="G39" s="74">
        <f t="shared" si="29"/>
        <v>236511.94884417806</v>
      </c>
      <c r="H39" s="70">
        <f>H$34*s_Aeq_Feq!$B7</f>
        <v>199.38913713478479</v>
      </c>
      <c r="I39" s="71">
        <f t="shared" si="25"/>
        <v>19990.837967940661</v>
      </c>
      <c r="J39" s="72">
        <f t="shared" si="26"/>
        <v>12.518724363485344</v>
      </c>
      <c r="K39" s="71">
        <f>IFERROR(I39*up_isospec!$D7,".")</f>
        <v>99954.189839703307</v>
      </c>
      <c r="L39" s="73">
        <f>IFERROR(J39*up_isospec!$E7,".")</f>
        <v>62.593621817426722</v>
      </c>
      <c r="M39" s="74">
        <f t="shared" si="30"/>
        <v>100016.78346152074</v>
      </c>
      <c r="N39" s="70">
        <f>N$34*s_Aeq_Feq!$B7</f>
        <v>2.3574999999999999E-2</v>
      </c>
      <c r="O39" s="71">
        <f t="shared" si="27"/>
        <v>2.3636393229166663</v>
      </c>
      <c r="P39" s="72">
        <f t="shared" si="28"/>
        <v>1.4801655251141549E-3</v>
      </c>
      <c r="Q39" s="71">
        <f>O39*up_isospec!$D7</f>
        <v>11.818196614583332</v>
      </c>
      <c r="R39" s="73">
        <f>P39*up_isospec!$E7</f>
        <v>7.4008276255707744E-3</v>
      </c>
      <c r="S39" s="74">
        <f t="shared" si="31"/>
        <v>11.825597442208903</v>
      </c>
      <c r="T39" s="70">
        <f>T$34*s_Aeq_Feq!$C7</f>
        <v>471.5</v>
      </c>
      <c r="U39" s="71">
        <f>IFERROR(T39*s_EFw*1*s_ETw*(1/24)*s_IRAw,".")</f>
        <v>162078.12499999997</v>
      </c>
      <c r="V39" s="72">
        <f>IFERROR(T39*s_EFw*(1/365)*1*s_ETw*(1/24)*s_GSFa,".")</f>
        <v>29.603310502283101</v>
      </c>
      <c r="W39" s="71">
        <f>U39*up_isospec!$D7</f>
        <v>810390.62499999988</v>
      </c>
      <c r="X39" s="73">
        <f>V39*up_isospec!$E7</f>
        <v>148.01655251141551</v>
      </c>
      <c r="Y39" s="74">
        <f t="shared" si="32"/>
        <v>810538.64155251125</v>
      </c>
      <c r="Z39" s="70">
        <f>Z$34*s_Aeq_Feq!$C7</f>
        <v>199.38913713478479</v>
      </c>
      <c r="AA39" s="71">
        <f>IFERROR(Z39*s_EFw*1*s_ETw*(1/24)*s_IRAw,".")</f>
        <v>68540.015890082257</v>
      </c>
      <c r="AB39" s="72">
        <f>IFERROR(Z39*s_EFw*(1/365)*1*s_ETw*(1/24)*s_GSFa,".")</f>
        <v>12.518724363485344</v>
      </c>
      <c r="AC39" s="71">
        <f>IFERROR(AA39*up_isospec!$D7,".")</f>
        <v>342700.07945041126</v>
      </c>
      <c r="AD39" s="73">
        <f>IFERROR(AB39*up_isospec!$E7,".")</f>
        <v>62.593621817426722</v>
      </c>
      <c r="AE39" s="74">
        <f t="shared" si="33"/>
        <v>342762.67307222867</v>
      </c>
      <c r="AF39" s="70">
        <f>AF$34*s_Aeq_Feq!$C7</f>
        <v>2.3574999999999999E-2</v>
      </c>
      <c r="AG39" s="71">
        <f>IFERROR(AF39*s_EFw*1*s_ETw*(1/24)*s_IRAw,".")</f>
        <v>8.1039062499999979</v>
      </c>
      <c r="AH39" s="72">
        <f>IFERROR(AF39*s_EFw*(1/365)*1*s_ETw*(1/24)*s_GSFa,".")</f>
        <v>1.4801655251141549E-3</v>
      </c>
      <c r="AI39" s="71">
        <f>AG39*up_isospec!$D7</f>
        <v>40.519531249999986</v>
      </c>
      <c r="AJ39" s="73">
        <f>AH39*up_isospec!$E7</f>
        <v>7.4008276255707744E-3</v>
      </c>
      <c r="AK39" s="74">
        <f t="shared" si="34"/>
        <v>40.52693207762556</v>
      </c>
    </row>
    <row r="40" spans="1:37" x14ac:dyDescent="0.25">
      <c r="A40" s="57" t="str">
        <f>up_isospec!A8</f>
        <v>Rn-220</v>
      </c>
      <c r="B40" s="102" t="s">
        <v>169</v>
      </c>
      <c r="C40" s="103" t="s">
        <v>179</v>
      </c>
      <c r="D40" s="104">
        <f>Cia_220*(s_Aeq_Feq!$E$8)</f>
        <v>1.0474586666666668E-3</v>
      </c>
      <c r="E40" s="67">
        <f>SUM(E41:E46)</f>
        <v>5052122.395833333</v>
      </c>
      <c r="F40" s="68">
        <f>SUM(F41:F46)</f>
        <v>3163.7557077625565</v>
      </c>
      <c r="G40" s="69">
        <f>SUM(E40:F40)</f>
        <v>5055286.1515410952</v>
      </c>
      <c r="H40" s="102" t="s">
        <v>169</v>
      </c>
      <c r="I40" s="103" t="s">
        <v>179</v>
      </c>
      <c r="J40" s="104">
        <f>(H41/1000)*(s_Aeq_Feq!$E$8)</f>
        <v>4.4295202488020958E-4</v>
      </c>
      <c r="K40" s="67">
        <f>SUM(K41:K46)</f>
        <v>2136454.5603489503</v>
      </c>
      <c r="L40" s="68">
        <f>SUM(L41:L46)</f>
        <v>1337.8971806490492</v>
      </c>
      <c r="M40" s="69">
        <f>SUM(K40:L40)</f>
        <v>2137792.4575295993</v>
      </c>
      <c r="N40" s="102" t="s">
        <v>169</v>
      </c>
      <c r="O40" s="103" t="s">
        <v>179</v>
      </c>
      <c r="P40" s="104">
        <f>(N41/1000)*(s_Aeq_Feq!$E$8)</f>
        <v>5.2372933333333336E-8</v>
      </c>
      <c r="Q40" s="67">
        <f>SUM(Q41:Q46)</f>
        <v>252.60611979166663</v>
      </c>
      <c r="R40" s="68">
        <f>SUM(R41:R46)</f>
        <v>0.15818778538812783</v>
      </c>
      <c r="S40" s="69">
        <f>SUM(Q40:R40)</f>
        <v>252.76430757705475</v>
      </c>
      <c r="T40" s="102" t="s">
        <v>169</v>
      </c>
      <c r="U40" s="103" t="s">
        <v>179</v>
      </c>
      <c r="V40" s="104">
        <f>Cia_222*(s_Aeq_Feq!$G$8)</f>
        <v>1.0474586666666668E-3</v>
      </c>
      <c r="W40" s="67">
        <f>SUM(W41:W46)</f>
        <v>17321562.5</v>
      </c>
      <c r="X40" s="68">
        <f>SUM(X41:X46)</f>
        <v>3163.7557077625565</v>
      </c>
      <c r="Y40" s="69">
        <f>SUM(W40:X40)</f>
        <v>17324726.255707763</v>
      </c>
      <c r="Z40" s="102" t="s">
        <v>169</v>
      </c>
      <c r="AA40" s="103" t="s">
        <v>179</v>
      </c>
      <c r="AB40" s="104">
        <f>(Z41/1000)*(s_Aeq_Feq!$G$8)</f>
        <v>4.4295202488020958E-4</v>
      </c>
      <c r="AC40" s="67">
        <f>SUM(AC41:AC46)</f>
        <v>7324987.0640535438</v>
      </c>
      <c r="AD40" s="68">
        <f>SUM(AD41:AD46)</f>
        <v>1337.8971806490492</v>
      </c>
      <c r="AE40" s="69">
        <f>SUM(AC40:AD40)</f>
        <v>7326324.9612341933</v>
      </c>
      <c r="AF40" s="102" t="s">
        <v>169</v>
      </c>
      <c r="AG40" s="103" t="s">
        <v>179</v>
      </c>
      <c r="AH40" s="104">
        <f>(AF41/1000)*(s_Aeq_Feq!$G$8)</f>
        <v>5.2372933333333336E-8</v>
      </c>
      <c r="AI40" s="67">
        <f>SUM(AI41:AI46)</f>
        <v>866.078125</v>
      </c>
      <c r="AJ40" s="68">
        <f>SUM(AJ41:AJ46)</f>
        <v>0.15818778538812783</v>
      </c>
      <c r="AK40" s="69">
        <f>SUM(AI40:AJ40)</f>
        <v>866.23631278538812</v>
      </c>
    </row>
    <row r="41" spans="1:37" x14ac:dyDescent="0.25">
      <c r="A41" s="57" t="str">
        <f>up_isospec!A8</f>
        <v>Rn-220</v>
      </c>
      <c r="B41" s="75">
        <f>Cia_220*1000</f>
        <v>5000</v>
      </c>
      <c r="C41" s="71">
        <f t="shared" ref="C41:C46" si="35">IFERROR(B41*s_IFAres_adj_d,".")</f>
        <v>501302.08333333331</v>
      </c>
      <c r="D41" s="72">
        <f t="shared" ref="D41:D46" si="36">IFERROR(B41*s_EFres*(1/365)*1*s_ETres*(1/24)*s_GSFa,".")</f>
        <v>313.92694063926939</v>
      </c>
      <c r="E41" s="71">
        <f>C41*up_isospec!$D8</f>
        <v>2506510.4166666665</v>
      </c>
      <c r="F41" s="73">
        <f>D41*up_isospec!$E8</f>
        <v>1569.6347031963469</v>
      </c>
      <c r="G41" s="74">
        <f t="shared" ref="G41:G46" si="37">SUM(E41:F41)</f>
        <v>2508080.0513698626</v>
      </c>
      <c r="H41" s="70">
        <f>IFERROR(Cia_220*(s_AFgw*1000*up_isospec!$M8),".")</f>
        <v>2114.4129070496797</v>
      </c>
      <c r="I41" s="71">
        <f t="shared" ref="I41:I46" si="38">IFERROR(H41*s_IFAres_adj_d,".")</f>
        <v>211991.91906617882</v>
      </c>
      <c r="J41" s="72">
        <f t="shared" ref="J41:J46" si="39">IFERROR(H41*s_EFres*(1/365)*1*s_ETres*(1/24)*s_GSFa,".")</f>
        <v>132.75423503165797</v>
      </c>
      <c r="K41" s="71">
        <f>IFERROR(I41*up_isospec!$D8,".")</f>
        <v>1059959.595330894</v>
      </c>
      <c r="L41" s="73">
        <f>IFERROR(J41*up_isospec!$E8,".")</f>
        <v>663.77117515828991</v>
      </c>
      <c r="M41" s="74">
        <f t="shared" ref="M41:M46" si="40">SUM(K41:L41)</f>
        <v>1060623.3665060522</v>
      </c>
      <c r="N41" s="70">
        <f>Cia_220*s_AFss</f>
        <v>0.25</v>
      </c>
      <c r="O41" s="71">
        <f t="shared" ref="O41:O46" si="41">IFERROR(N41*s_IFAres_adj_d,".")</f>
        <v>25.065104166666664</v>
      </c>
      <c r="P41" s="72">
        <f t="shared" ref="P41:P46" si="42">IFERROR(N41*s_EFres*(1/365)*1*s_ETres*(1/24)*s_GSFa,".")</f>
        <v>1.5696347031963466E-2</v>
      </c>
      <c r="Q41" s="71">
        <f>O41*up_isospec!$D8</f>
        <v>125.32552083333331</v>
      </c>
      <c r="R41" s="73">
        <f>P41*up_isospec!$E8</f>
        <v>7.8481735159817323E-2</v>
      </c>
      <c r="S41" s="74">
        <f t="shared" ref="S41:S46" si="43">SUM(Q41:R41)</f>
        <v>125.40400256849313</v>
      </c>
      <c r="T41" s="75">
        <f>Cia_220*1000</f>
        <v>5000</v>
      </c>
      <c r="U41" s="71">
        <f>IFERROR(T41*s_EFw*1*s_ETw*(1/24)*s_IRAw,".")</f>
        <v>1718750</v>
      </c>
      <c r="V41" s="72">
        <f>IFERROR(T41*s_EFw*(1/365)*1*s_ETw*(1/24)*s_GSFa,".")</f>
        <v>313.92694063926939</v>
      </c>
      <c r="W41" s="71">
        <f>U41*up_isospec!$D8</f>
        <v>8593750</v>
      </c>
      <c r="X41" s="73">
        <f>V41*up_isospec!$E8</f>
        <v>1569.6347031963469</v>
      </c>
      <c r="Y41" s="74">
        <f t="shared" ref="Y41:Y46" si="44">SUM(W41:X41)</f>
        <v>8595319.6347031966</v>
      </c>
      <c r="Z41" s="70">
        <f>IFERROR(Cia_220*(s_AFgw*1000*up_isospec!$M8),".")</f>
        <v>2114.4129070496797</v>
      </c>
      <c r="AA41" s="71">
        <f>IFERROR(Z41*s_EFw*1*s_ETw*(1/24)*s_IRAw,".")</f>
        <v>726829.43679832737</v>
      </c>
      <c r="AB41" s="72">
        <f>IFERROR(Z41*s_EFw*(1/365)*1*s_ETw*(1/24)*s_GSFa,".")</f>
        <v>132.75423503165797</v>
      </c>
      <c r="AC41" s="71">
        <f>IFERROR(AA41*up_isospec!$D8,".")</f>
        <v>3634147.1839916371</v>
      </c>
      <c r="AD41" s="73">
        <f>IFERROR(AB41*up_isospec!$E8,".")</f>
        <v>663.77117515828991</v>
      </c>
      <c r="AE41" s="74">
        <f t="shared" ref="AE41:AE46" si="45">SUM(AC41:AD41)</f>
        <v>3634810.9551667953</v>
      </c>
      <c r="AF41" s="70">
        <f>Cia_220*s_AFss</f>
        <v>0.25</v>
      </c>
      <c r="AG41" s="71">
        <f>IFERROR(AF41*s_EFw*1*s_ETw*(1/24)*s_IRAw,".")</f>
        <v>85.937499999999986</v>
      </c>
      <c r="AH41" s="72">
        <f>IFERROR(AF41*s_EFw*(1/365)*1*s_ETw*(1/24)*s_GSFa,".")</f>
        <v>1.5696347031963466E-2</v>
      </c>
      <c r="AI41" s="71">
        <f>AG41*up_isospec!$D8</f>
        <v>429.68749999999994</v>
      </c>
      <c r="AJ41" s="73">
        <f>AH41*up_isospec!$E8</f>
        <v>7.8481735159817323E-2</v>
      </c>
      <c r="AK41" s="74">
        <f t="shared" ref="AK41:AK46" si="46">SUM(AI41:AJ41)</f>
        <v>429.76598173515976</v>
      </c>
    </row>
    <row r="42" spans="1:37" x14ac:dyDescent="0.25">
      <c r="A42" s="57" t="str">
        <f>up_isospec!A9</f>
        <v>Rn-220~Bi-212</v>
      </c>
      <c r="B42" s="70">
        <f>B$41*s_Aeq_Feq!$B9</f>
        <v>8</v>
      </c>
      <c r="C42" s="71">
        <f t="shared" si="35"/>
        <v>802.08333333333326</v>
      </c>
      <c r="D42" s="72">
        <f t="shared" si="36"/>
        <v>0.50228310502283091</v>
      </c>
      <c r="E42" s="71">
        <f>C42*up_isospec!$D9</f>
        <v>4010.4166666666661</v>
      </c>
      <c r="F42" s="73">
        <f>D42*up_isospec!$E9</f>
        <v>2.5114155251141543</v>
      </c>
      <c r="G42" s="74">
        <f t="shared" si="37"/>
        <v>4012.92808219178</v>
      </c>
      <c r="H42" s="70">
        <f>H$41*s_Aeq_Feq!$B9</f>
        <v>3.3830606512794876</v>
      </c>
      <c r="I42" s="71">
        <f t="shared" si="38"/>
        <v>339.18707050588608</v>
      </c>
      <c r="J42" s="72">
        <f t="shared" si="39"/>
        <v>0.21240677605065275</v>
      </c>
      <c r="K42" s="71">
        <f>IFERROR(I42*up_isospec!$D9,".")</f>
        <v>1695.9353525294305</v>
      </c>
      <c r="L42" s="73">
        <f>IFERROR(J42*up_isospec!$E9,".")</f>
        <v>1.0620338802532638</v>
      </c>
      <c r="M42" s="74">
        <f t="shared" si="40"/>
        <v>1696.9973864096837</v>
      </c>
      <c r="N42" s="70">
        <f>N$41*s_Aeq_Feq!$B9</f>
        <v>4.0000000000000002E-4</v>
      </c>
      <c r="O42" s="71">
        <f t="shared" si="41"/>
        <v>4.0104166666666663E-2</v>
      </c>
      <c r="P42" s="72">
        <f t="shared" si="42"/>
        <v>2.5114155251141553E-5</v>
      </c>
      <c r="Q42" s="71">
        <f>O42*up_isospec!$D9</f>
        <v>0.20052083333333331</v>
      </c>
      <c r="R42" s="73">
        <f>P42*up_isospec!$E9</f>
        <v>1.2557077625570778E-4</v>
      </c>
      <c r="S42" s="74">
        <f t="shared" si="43"/>
        <v>0.20064640410958903</v>
      </c>
      <c r="T42" s="70">
        <f>T$41*s_Aeq_Feq!$C9</f>
        <v>8</v>
      </c>
      <c r="U42" s="71">
        <f>IFERROR(T42*s_EFw*1*s_ETw*(1/24)*s_IRAw,".")</f>
        <v>2749.9999999999995</v>
      </c>
      <c r="V42" s="72">
        <f>IFERROR(T42*s_EFw*(1/365)*1*s_ETw*(1/24)*s_GSFa,".")</f>
        <v>0.50228310502283091</v>
      </c>
      <c r="W42" s="71">
        <f>U42*up_isospec!$D9</f>
        <v>13749.999999999998</v>
      </c>
      <c r="X42" s="73">
        <f>V42*up_isospec!$E9</f>
        <v>2.5114155251141543</v>
      </c>
      <c r="Y42" s="74">
        <f t="shared" si="44"/>
        <v>13752.511415525112</v>
      </c>
      <c r="Z42" s="70">
        <f>Z$41*s_Aeq_Feq!$C9</f>
        <v>3.3830606512794876</v>
      </c>
      <c r="AA42" s="71">
        <f>IFERROR(Z42*s_EFw*1*s_ETw*(1/24)*s_IRAw,".")</f>
        <v>1162.9270988773239</v>
      </c>
      <c r="AB42" s="72">
        <f>IFERROR(Z42*s_EFw*(1/365)*1*s_ETw*(1/24)*s_GSFa,".")</f>
        <v>0.21240677605065275</v>
      </c>
      <c r="AC42" s="71">
        <f>IFERROR(AA42*up_isospec!$D9,".")</f>
        <v>5814.6354943866199</v>
      </c>
      <c r="AD42" s="73">
        <f>IFERROR(AB42*up_isospec!$E9,".")</f>
        <v>1.0620338802532638</v>
      </c>
      <c r="AE42" s="74">
        <f t="shared" si="45"/>
        <v>5815.6975282668736</v>
      </c>
      <c r="AF42" s="70">
        <f>AF$41*s_Aeq_Feq!$C9</f>
        <v>4.0000000000000002E-4</v>
      </c>
      <c r="AG42" s="71">
        <f>IFERROR(AF42*s_EFw*1*s_ETw*(1/24)*s_IRAw,".")</f>
        <v>0.13750000000000001</v>
      </c>
      <c r="AH42" s="72">
        <f>IFERROR(AF42*s_EFw*(1/365)*1*s_ETw*(1/24)*s_GSFa,".")</f>
        <v>2.5114155251141553E-5</v>
      </c>
      <c r="AI42" s="71">
        <f>AG42*up_isospec!$D9</f>
        <v>0.6875</v>
      </c>
      <c r="AJ42" s="73">
        <f>AH42*up_isospec!$E9</f>
        <v>1.2557077625570778E-4</v>
      </c>
      <c r="AK42" s="74">
        <f t="shared" si="46"/>
        <v>0.68762557077625575</v>
      </c>
    </row>
    <row r="43" spans="1:37" x14ac:dyDescent="0.25">
      <c r="A43" s="57" t="str">
        <f>up_isospec!A10</f>
        <v>Rn-220~Pb-212</v>
      </c>
      <c r="B43" s="70">
        <f>B$41*s_Aeq_Feq!$B10</f>
        <v>64.5</v>
      </c>
      <c r="C43" s="71">
        <f t="shared" si="35"/>
        <v>6466.7968749999991</v>
      </c>
      <c r="D43" s="72">
        <f t="shared" si="36"/>
        <v>4.0496575342465757</v>
      </c>
      <c r="E43" s="71">
        <f>C43*up_isospec!$D10</f>
        <v>32333.984374999996</v>
      </c>
      <c r="F43" s="73">
        <f>D43*up_isospec!$E10</f>
        <v>20.24828767123288</v>
      </c>
      <c r="G43" s="74">
        <f t="shared" si="37"/>
        <v>32354.232662671227</v>
      </c>
      <c r="H43" s="70">
        <f>H$41*s_Aeq_Feq!$B10</f>
        <v>27.275926500940869</v>
      </c>
      <c r="I43" s="71">
        <f t="shared" si="38"/>
        <v>2734.6957559537068</v>
      </c>
      <c r="J43" s="72">
        <f t="shared" si="39"/>
        <v>1.7125296319083878</v>
      </c>
      <c r="K43" s="71">
        <f>IFERROR(I43*up_isospec!$D10,".")</f>
        <v>13673.478779768535</v>
      </c>
      <c r="L43" s="73">
        <f>IFERROR(J43*up_isospec!$E10,".")</f>
        <v>8.5626481595419399</v>
      </c>
      <c r="M43" s="74">
        <f t="shared" si="40"/>
        <v>13682.041427928078</v>
      </c>
      <c r="N43" s="70">
        <f>N$41*s_Aeq_Feq!$B10</f>
        <v>3.225E-3</v>
      </c>
      <c r="O43" s="71">
        <f t="shared" si="41"/>
        <v>0.32333984374999997</v>
      </c>
      <c r="P43" s="72">
        <f t="shared" si="42"/>
        <v>2.0248287671232877E-4</v>
      </c>
      <c r="Q43" s="71">
        <f>O43*up_isospec!$D10</f>
        <v>1.6166992187499998</v>
      </c>
      <c r="R43" s="73">
        <f>P43*up_isospec!$E10</f>
        <v>1.0124143835616439E-3</v>
      </c>
      <c r="S43" s="74">
        <f t="shared" si="43"/>
        <v>1.6177116331335615</v>
      </c>
      <c r="T43" s="70">
        <f>T$41*s_Aeq_Feq!$C10</f>
        <v>64.5</v>
      </c>
      <c r="U43" s="71">
        <f>IFERROR(T43*s_EFw*1*s_ETw*(1/24)*s_IRAw,".")</f>
        <v>22171.875</v>
      </c>
      <c r="V43" s="72">
        <f>IFERROR(T43*s_EFw*(1/365)*1*s_ETw*(1/24)*s_GSFa,".")</f>
        <v>4.0496575342465757</v>
      </c>
      <c r="W43" s="71">
        <f>U43*up_isospec!$D10</f>
        <v>110859.375</v>
      </c>
      <c r="X43" s="73">
        <f>V43*up_isospec!$E10</f>
        <v>20.24828767123288</v>
      </c>
      <c r="Y43" s="74">
        <f t="shared" si="44"/>
        <v>110879.62328767123</v>
      </c>
      <c r="Z43" s="70">
        <f>Z$41*s_Aeq_Feq!$C10</f>
        <v>27.275926500940869</v>
      </c>
      <c r="AA43" s="71">
        <f>IFERROR(Z43*s_EFw*1*s_ETw*(1/24)*s_IRAw,".")</f>
        <v>9376.0997346984241</v>
      </c>
      <c r="AB43" s="72">
        <f>IFERROR(Z43*s_EFw*(1/365)*1*s_ETw*(1/24)*s_GSFa,".")</f>
        <v>1.7125296319083878</v>
      </c>
      <c r="AC43" s="71">
        <f>IFERROR(AA43*up_isospec!$D10,".")</f>
        <v>46880.498673492119</v>
      </c>
      <c r="AD43" s="73">
        <f>IFERROR(AB43*up_isospec!$E10,".")</f>
        <v>8.5626481595419399</v>
      </c>
      <c r="AE43" s="74">
        <f t="shared" si="45"/>
        <v>46889.061321651658</v>
      </c>
      <c r="AF43" s="70">
        <f>AF$41*s_Aeq_Feq!$C10</f>
        <v>3.225E-3</v>
      </c>
      <c r="AG43" s="71">
        <f>IFERROR(AF43*s_EFw*1*s_ETw*(1/24)*s_IRAw,".")</f>
        <v>1.10859375</v>
      </c>
      <c r="AH43" s="72">
        <f>IFERROR(AF43*s_EFw*(1/365)*1*s_ETw*(1/24)*s_GSFa,".")</f>
        <v>2.0248287671232877E-4</v>
      </c>
      <c r="AI43" s="71">
        <f>AG43*up_isospec!$D10</f>
        <v>5.54296875</v>
      </c>
      <c r="AJ43" s="73">
        <f>AH43*up_isospec!$E10</f>
        <v>1.0124143835616439E-3</v>
      </c>
      <c r="AK43" s="74">
        <f t="shared" si="46"/>
        <v>5.5439811643835615</v>
      </c>
    </row>
    <row r="44" spans="1:37" x14ac:dyDescent="0.25">
      <c r="A44" s="57" t="str">
        <f>up_isospec!A11</f>
        <v>Rn-220~Po-212</v>
      </c>
      <c r="B44" s="70">
        <f>B$41*s_Aeq_Feq!$B11</f>
        <v>5</v>
      </c>
      <c r="C44" s="71">
        <f t="shared" si="35"/>
        <v>501.30208333333326</v>
      </c>
      <c r="D44" s="72">
        <f t="shared" si="36"/>
        <v>0.3139269406392694</v>
      </c>
      <c r="E44" s="71">
        <f>C44*up_isospec!$D11</f>
        <v>2506.5104166666661</v>
      </c>
      <c r="F44" s="73">
        <f>D44*up_isospec!$E11</f>
        <v>1.5696347031963471</v>
      </c>
      <c r="G44" s="74">
        <f t="shared" si="37"/>
        <v>2508.0800513698623</v>
      </c>
      <c r="H44" s="70">
        <f>H$41*s_Aeq_Feq!$B11</f>
        <v>2.1144129070496795</v>
      </c>
      <c r="I44" s="71">
        <f t="shared" si="38"/>
        <v>211.99191906617878</v>
      </c>
      <c r="J44" s="72">
        <f t="shared" si="39"/>
        <v>0.13275423503165795</v>
      </c>
      <c r="K44" s="71">
        <f>IFERROR(I44*up_isospec!$D11,".")</f>
        <v>1059.959595330894</v>
      </c>
      <c r="L44" s="73">
        <f>IFERROR(J44*up_isospec!$E11,".")</f>
        <v>0.66377117515828976</v>
      </c>
      <c r="M44" s="74">
        <f t="shared" si="40"/>
        <v>1060.6233665060522</v>
      </c>
      <c r="N44" s="70">
        <f>N$41*s_Aeq_Feq!$B11</f>
        <v>2.5000000000000001E-4</v>
      </c>
      <c r="O44" s="71">
        <f t="shared" si="41"/>
        <v>2.5065104166666664E-2</v>
      </c>
      <c r="P44" s="72">
        <f t="shared" si="42"/>
        <v>1.5696347031963469E-5</v>
      </c>
      <c r="Q44" s="71">
        <f>O44*up_isospec!$D11</f>
        <v>0.12532552083333331</v>
      </c>
      <c r="R44" s="73">
        <f>P44*up_isospec!$E11</f>
        <v>7.8481735159817336E-5</v>
      </c>
      <c r="S44" s="74">
        <f t="shared" si="43"/>
        <v>0.12540400256849313</v>
      </c>
      <c r="T44" s="70">
        <f>T$41*s_Aeq_Feq!$C11</f>
        <v>5</v>
      </c>
      <c r="U44" s="71">
        <f>IFERROR(T44*s_EFw*1*s_ETw*(1/24)*s_IRAw,".")</f>
        <v>1718.75</v>
      </c>
      <c r="V44" s="72">
        <f>IFERROR(T44*s_EFw*(1/365)*1*s_ETw*(1/24)*s_GSFa,".")</f>
        <v>0.3139269406392694</v>
      </c>
      <c r="W44" s="71">
        <f>U44*up_isospec!$D11</f>
        <v>8593.75</v>
      </c>
      <c r="X44" s="73">
        <f>V44*up_isospec!$E11</f>
        <v>1.5696347031963471</v>
      </c>
      <c r="Y44" s="74">
        <f t="shared" si="44"/>
        <v>8595.3196347031972</v>
      </c>
      <c r="Z44" s="70">
        <f>Z$41*s_Aeq_Feq!$C11</f>
        <v>2.1144129070496795</v>
      </c>
      <c r="AA44" s="71">
        <f>IFERROR(Z44*s_EFw*1*s_ETw*(1/24)*s_IRAw,".")</f>
        <v>726.82943679832738</v>
      </c>
      <c r="AB44" s="72">
        <f>IFERROR(Z44*s_EFw*(1/365)*1*s_ETw*(1/24)*s_GSFa,".")</f>
        <v>0.13275423503165795</v>
      </c>
      <c r="AC44" s="71">
        <f>IFERROR(AA44*up_isospec!$D11,".")</f>
        <v>3634.1471839916367</v>
      </c>
      <c r="AD44" s="73">
        <f>IFERROR(AB44*up_isospec!$E11,".")</f>
        <v>0.66377117515828976</v>
      </c>
      <c r="AE44" s="74">
        <f t="shared" si="45"/>
        <v>3634.8109551667949</v>
      </c>
      <c r="AF44" s="70">
        <f>AF$41*s_Aeq_Feq!$C11</f>
        <v>2.5000000000000001E-4</v>
      </c>
      <c r="AG44" s="71">
        <f>IFERROR(AF44*s_EFw*1*s_ETw*(1/24)*s_IRAw,".")</f>
        <v>8.59375E-2</v>
      </c>
      <c r="AH44" s="72">
        <f>IFERROR(AF44*s_EFw*(1/365)*1*s_ETw*(1/24)*s_GSFa,".")</f>
        <v>1.5696347031963469E-5</v>
      </c>
      <c r="AI44" s="71">
        <f>AG44*up_isospec!$D11</f>
        <v>0.4296875</v>
      </c>
      <c r="AJ44" s="73">
        <f>AH44*up_isospec!$E11</f>
        <v>7.8481735159817336E-5</v>
      </c>
      <c r="AK44" s="74">
        <f t="shared" si="46"/>
        <v>0.42976598173515984</v>
      </c>
    </row>
    <row r="45" spans="1:37" x14ac:dyDescent="0.25">
      <c r="A45" s="57" t="str">
        <f>up_isospec!A12</f>
        <v>Rn-220~Po-216</v>
      </c>
      <c r="B45" s="70">
        <f>B$41*s_Aeq_Feq!$B12</f>
        <v>4998.5</v>
      </c>
      <c r="C45" s="71">
        <f t="shared" si="35"/>
        <v>501151.69270833331</v>
      </c>
      <c r="D45" s="72">
        <f t="shared" si="36"/>
        <v>313.83276255707756</v>
      </c>
      <c r="E45" s="71">
        <f>C45*up_isospec!$D12</f>
        <v>2505758.4635416665</v>
      </c>
      <c r="F45" s="73">
        <f>D45*up_isospec!$E12</f>
        <v>1569.1638127853878</v>
      </c>
      <c r="G45" s="74">
        <f t="shared" si="37"/>
        <v>2507327.6273544519</v>
      </c>
      <c r="H45" s="70">
        <f>H$41*s_Aeq_Feq!$B12</f>
        <v>2113.778583177565</v>
      </c>
      <c r="I45" s="71">
        <f t="shared" si="38"/>
        <v>211928.32149045897</v>
      </c>
      <c r="J45" s="72">
        <f t="shared" si="39"/>
        <v>132.71440876114849</v>
      </c>
      <c r="K45" s="71">
        <f>IFERROR(I45*up_isospec!$D12,".")</f>
        <v>1059641.6074522948</v>
      </c>
      <c r="L45" s="73">
        <f>IFERROR(J45*up_isospec!$E12,".")</f>
        <v>663.5720438057424</v>
      </c>
      <c r="M45" s="74">
        <f t="shared" si="40"/>
        <v>1060305.1794961006</v>
      </c>
      <c r="N45" s="70">
        <f>N$41*s_Aeq_Feq!$B12</f>
        <v>0.24992500000000001</v>
      </c>
      <c r="O45" s="71">
        <f t="shared" si="41"/>
        <v>25.057584635416664</v>
      </c>
      <c r="P45" s="72">
        <f t="shared" si="42"/>
        <v>1.5691638127853881E-2</v>
      </c>
      <c r="Q45" s="71">
        <f>O45*up_isospec!$D12</f>
        <v>125.28792317708331</v>
      </c>
      <c r="R45" s="73">
        <f>P45*up_isospec!$E12</f>
        <v>7.8458190639269398E-2</v>
      </c>
      <c r="S45" s="74">
        <f t="shared" si="43"/>
        <v>125.36638136772258</v>
      </c>
      <c r="T45" s="70">
        <f>T$41*s_Aeq_Feq!$C12</f>
        <v>4998.5</v>
      </c>
      <c r="U45" s="71">
        <f>IFERROR(T45*s_EFw*1*s_ETw*(1/24)*s_IRAw,".")</f>
        <v>1718234.375</v>
      </c>
      <c r="V45" s="72">
        <f>IFERROR(T45*s_EFw*(1/365)*1*s_ETw*(1/24)*s_GSFa,".")</f>
        <v>313.83276255707756</v>
      </c>
      <c r="W45" s="71">
        <f>U45*up_isospec!$D12</f>
        <v>8591171.875</v>
      </c>
      <c r="X45" s="73">
        <f>V45*up_isospec!$E12</f>
        <v>1569.1638127853878</v>
      </c>
      <c r="Y45" s="74">
        <f t="shared" si="44"/>
        <v>8592741.0388127845</v>
      </c>
      <c r="Z45" s="70">
        <f>Z$41*s_Aeq_Feq!$C12</f>
        <v>2113.778583177565</v>
      </c>
      <c r="AA45" s="71">
        <f>IFERROR(Z45*s_EFw*1*s_ETw*(1/24)*s_IRAw,".")</f>
        <v>726611.38796728803</v>
      </c>
      <c r="AB45" s="72">
        <f>IFERROR(Z45*s_EFw*(1/365)*1*s_ETw*(1/24)*s_GSFa,".")</f>
        <v>132.71440876114849</v>
      </c>
      <c r="AC45" s="71">
        <f>IFERROR(AA45*up_isospec!$D12,".")</f>
        <v>3633056.9398364401</v>
      </c>
      <c r="AD45" s="73">
        <f>IFERROR(AB45*up_isospec!$E12,".")</f>
        <v>663.5720438057424</v>
      </c>
      <c r="AE45" s="74">
        <f t="shared" si="45"/>
        <v>3633720.511880246</v>
      </c>
      <c r="AF45" s="70">
        <f>AF$41*s_Aeq_Feq!$C12</f>
        <v>0.24992500000000001</v>
      </c>
      <c r="AG45" s="71">
        <f>IFERROR(AF45*s_EFw*1*s_ETw*(1/24)*s_IRAw,".")</f>
        <v>85.911718750000006</v>
      </c>
      <c r="AH45" s="72">
        <f>IFERROR(AF45*s_EFw*(1/365)*1*s_ETw*(1/24)*s_GSFa,".")</f>
        <v>1.5691638127853881E-2</v>
      </c>
      <c r="AI45" s="71">
        <f>AG45*up_isospec!$D12</f>
        <v>429.55859375</v>
      </c>
      <c r="AJ45" s="73">
        <f>AH45*up_isospec!$E12</f>
        <v>7.8458190639269398E-2</v>
      </c>
      <c r="AK45" s="74">
        <f t="shared" si="46"/>
        <v>429.63705194063925</v>
      </c>
    </row>
    <row r="46" spans="1:37" x14ac:dyDescent="0.25">
      <c r="A46" s="57" t="str">
        <f>up_isospec!A13</f>
        <v>Rn-220~Tl-208</v>
      </c>
      <c r="B46" s="70">
        <f>B$41*s_Aeq_Feq!$B13</f>
        <v>2</v>
      </c>
      <c r="C46" s="71">
        <f t="shared" si="35"/>
        <v>200.52083333333331</v>
      </c>
      <c r="D46" s="72">
        <f t="shared" si="36"/>
        <v>0.12557077625570773</v>
      </c>
      <c r="E46" s="71">
        <f>C46*up_isospec!$D13</f>
        <v>1002.6041666666665</v>
      </c>
      <c r="F46" s="73">
        <f>D46*up_isospec!$E13</f>
        <v>0.62785388127853858</v>
      </c>
      <c r="G46" s="74">
        <f t="shared" si="37"/>
        <v>1003.232020547945</v>
      </c>
      <c r="H46" s="70">
        <f>H$41*s_Aeq_Feq!$B13</f>
        <v>0.84576516281987191</v>
      </c>
      <c r="I46" s="71">
        <f t="shared" si="38"/>
        <v>84.796767626471521</v>
      </c>
      <c r="J46" s="72">
        <f t="shared" si="39"/>
        <v>5.3101694012663188E-2</v>
      </c>
      <c r="K46" s="71">
        <f>IFERROR(I46*up_isospec!$D13,".")</f>
        <v>423.98383813235762</v>
      </c>
      <c r="L46" s="73">
        <f>IFERROR(J46*up_isospec!$E13,".")</f>
        <v>0.26550847006331596</v>
      </c>
      <c r="M46" s="74">
        <f t="shared" si="40"/>
        <v>424.24934660242093</v>
      </c>
      <c r="N46" s="70">
        <f>N$41*s_Aeq_Feq!$B13</f>
        <v>1E-4</v>
      </c>
      <c r="O46" s="71">
        <f t="shared" si="41"/>
        <v>1.0026041666666666E-2</v>
      </c>
      <c r="P46" s="72">
        <f t="shared" si="42"/>
        <v>6.2785388127853883E-6</v>
      </c>
      <c r="Q46" s="71">
        <f>O46*up_isospec!$D13</f>
        <v>5.0130208333333329E-2</v>
      </c>
      <c r="R46" s="73">
        <f>P46*up_isospec!$E13</f>
        <v>3.1392694063926944E-5</v>
      </c>
      <c r="S46" s="74">
        <f t="shared" si="43"/>
        <v>5.0161601027397258E-2</v>
      </c>
      <c r="T46" s="70">
        <f>T$41*s_Aeq_Feq!$C13</f>
        <v>2</v>
      </c>
      <c r="U46" s="71">
        <f>IFERROR(T46*s_EFw*1*s_ETw*(1/24)*s_IRAw,".")</f>
        <v>687.49999999999989</v>
      </c>
      <c r="V46" s="72">
        <f>IFERROR(T46*s_EFw*(1/365)*1*s_ETw*(1/24)*s_GSFa,".")</f>
        <v>0.12557077625570773</v>
      </c>
      <c r="W46" s="71">
        <f>U46*up_isospec!$D13</f>
        <v>3437.4999999999995</v>
      </c>
      <c r="X46" s="73">
        <f>V46*up_isospec!$E13</f>
        <v>0.62785388127853858</v>
      </c>
      <c r="Y46" s="74">
        <f t="shared" si="44"/>
        <v>3438.127853881278</v>
      </c>
      <c r="Z46" s="70">
        <f>Z$41*s_Aeq_Feq!$C13</f>
        <v>0.84576516281987191</v>
      </c>
      <c r="AA46" s="71">
        <f>IFERROR(Z46*s_EFw*1*s_ETw*(1/24)*s_IRAw,".")</f>
        <v>290.73177471933099</v>
      </c>
      <c r="AB46" s="72">
        <f>IFERROR(Z46*s_EFw*(1/365)*1*s_ETw*(1/24)*s_GSFa,".")</f>
        <v>5.3101694012663188E-2</v>
      </c>
      <c r="AC46" s="71">
        <f>IFERROR(AA46*up_isospec!$D13,".")</f>
        <v>1453.658873596655</v>
      </c>
      <c r="AD46" s="73">
        <f>IFERROR(AB46*up_isospec!$E13,".")</f>
        <v>0.26550847006331596</v>
      </c>
      <c r="AE46" s="74">
        <f t="shared" si="45"/>
        <v>1453.9243820667184</v>
      </c>
      <c r="AF46" s="70">
        <f>AF$41*s_Aeq_Feq!$C13</f>
        <v>1E-4</v>
      </c>
      <c r="AG46" s="71">
        <f>IFERROR(AF46*s_EFw*1*s_ETw*(1/24)*s_IRAw,".")</f>
        <v>3.4375000000000003E-2</v>
      </c>
      <c r="AH46" s="72">
        <f>IFERROR(AF46*s_EFw*(1/365)*1*s_ETw*(1/24)*s_GSFa,".")</f>
        <v>6.2785388127853883E-6</v>
      </c>
      <c r="AI46" s="71">
        <f>AG46*up_isospec!$D13</f>
        <v>0.171875</v>
      </c>
      <c r="AJ46" s="73">
        <f>AH46*up_isospec!$E13</f>
        <v>3.1392694063926944E-5</v>
      </c>
      <c r="AK46" s="74">
        <f t="shared" si="46"/>
        <v>0.17190639269406394</v>
      </c>
    </row>
    <row r="47" spans="1:37" x14ac:dyDescent="0.25">
      <c r="A47" s="57" t="str">
        <f>up_isospec!A14</f>
        <v>Rn-222</v>
      </c>
      <c r="B47" s="102" t="s">
        <v>169</v>
      </c>
      <c r="C47" s="103" t="s">
        <v>179</v>
      </c>
      <c r="D47" s="104">
        <f>Cia_222*(s_Aeq_Feq!$E$14)</f>
        <v>1.73966222E-2</v>
      </c>
      <c r="E47" s="67">
        <f>SUM(E48:E60)</f>
        <v>5020426.0301106768</v>
      </c>
      <c r="F47" s="67">
        <f t="shared" ref="F47:G47" si="47">SUM(F48:F60)</f>
        <v>3143.9067116152964</v>
      </c>
      <c r="G47" s="67">
        <f t="shared" si="47"/>
        <v>5023569.9368222924</v>
      </c>
      <c r="H47" s="102" t="s">
        <v>169</v>
      </c>
      <c r="I47" s="103" t="s">
        <v>179</v>
      </c>
      <c r="J47" s="104">
        <f>(H48/1000)*(s_Aeq_Feq!$E$14)</f>
        <v>7.3567285037493988E-3</v>
      </c>
      <c r="K47" s="67">
        <f t="shared" ref="K47:M47" si="48">SUM(K48:K60)</f>
        <v>2123050.7193908393</v>
      </c>
      <c r="L47" s="67">
        <f t="shared" si="48"/>
        <v>1329.5033859198998</v>
      </c>
      <c r="M47" s="67">
        <f t="shared" si="48"/>
        <v>2124380.2227767594</v>
      </c>
      <c r="N47" s="102" t="s">
        <v>169</v>
      </c>
      <c r="O47" s="103" t="s">
        <v>179</v>
      </c>
      <c r="P47" s="104">
        <f>(N48/1000)*(s_Aeq_Feq!$E$14)</f>
        <v>8.6983111000000011E-7</v>
      </c>
      <c r="Q47" s="67">
        <f t="shared" ref="Q47:S47" si="49">SUM(Q48:Q60)</f>
        <v>251.02130150553381</v>
      </c>
      <c r="R47" s="67">
        <f t="shared" si="49"/>
        <v>0.15719533558076479</v>
      </c>
      <c r="S47" s="67">
        <f t="shared" si="49"/>
        <v>251.17849684111459</v>
      </c>
      <c r="T47" s="102" t="s">
        <v>169</v>
      </c>
      <c r="U47" s="103" t="s">
        <v>179</v>
      </c>
      <c r="V47" s="104">
        <f>Cia_222*(s_Aeq_Feq!$G$14)</f>
        <v>1.73966222E-2</v>
      </c>
      <c r="W47" s="67">
        <f t="shared" ref="W47:Y47" si="50">SUM(W48:W60)</f>
        <v>17212889.24609375</v>
      </c>
      <c r="X47" s="68">
        <f t="shared" si="50"/>
        <v>3143.9067116152964</v>
      </c>
      <c r="Y47" s="69">
        <f t="shared" si="50"/>
        <v>17216033.152805366</v>
      </c>
      <c r="Z47" s="102" t="s">
        <v>169</v>
      </c>
      <c r="AA47" s="103" t="s">
        <v>179</v>
      </c>
      <c r="AB47" s="104">
        <f>(Z48/1000)*(s_Aeq_Feq!$G$14)</f>
        <v>7.3567285037493988E-3</v>
      </c>
      <c r="AC47" s="67">
        <f>SUM(AC48:AC60)</f>
        <v>7279031.0379114496</v>
      </c>
      <c r="AD47" s="68">
        <f t="shared" ref="AD47:AE47" si="51">SUM(AD48:AD60)</f>
        <v>1329.5033859198998</v>
      </c>
      <c r="AE47" s="69">
        <f t="shared" si="51"/>
        <v>7280360.5412973706</v>
      </c>
      <c r="AF47" s="103" t="s">
        <v>169</v>
      </c>
      <c r="AG47" s="103" t="s">
        <v>179</v>
      </c>
      <c r="AH47" s="104">
        <f>(AF48/1000)*(s_Aeq_Feq!$G$14)</f>
        <v>8.6983111000000011E-7</v>
      </c>
      <c r="AI47" s="67">
        <f t="shared" ref="AI47:AK47" si="52">SUM(AI48:AI60)</f>
        <v>860.64446230468729</v>
      </c>
      <c r="AJ47" s="68">
        <f t="shared" si="52"/>
        <v>0.15719533558076479</v>
      </c>
      <c r="AK47" s="69">
        <f t="shared" si="52"/>
        <v>860.8016576402681</v>
      </c>
    </row>
    <row r="48" spans="1:37" x14ac:dyDescent="0.25">
      <c r="A48" s="23" t="str">
        <f>up_isospec!A14</f>
        <v>Rn-222</v>
      </c>
      <c r="B48" s="75">
        <f>Cia_222*1000</f>
        <v>5000</v>
      </c>
      <c r="C48" s="76">
        <f t="shared" ref="C48:C60" si="53">IFERROR(B48*s_IFAres_adj_d,".")</f>
        <v>501302.08333333331</v>
      </c>
      <c r="D48" s="77">
        <f t="shared" ref="D48:D60" si="54">IFERROR(B48*s_EFres*(1/365)*1*s_ETres*(1/24)*s_GSFa,".")</f>
        <v>313.92694063926939</v>
      </c>
      <c r="E48" s="76">
        <f>C48*up_isospec!$D14</f>
        <v>2506510.4166666665</v>
      </c>
      <c r="F48" s="78">
        <f>D48*up_isospec!$E14</f>
        <v>1569.6347031963469</v>
      </c>
      <c r="G48" s="74">
        <f>SUM(E48:F48)</f>
        <v>2508080.0513698626</v>
      </c>
      <c r="H48" s="70">
        <f>IFERROR(Cia_222*(s_AFgw*1000*up_isospec!$M14),".")</f>
        <v>2114.4129070496797</v>
      </c>
      <c r="I48" s="71">
        <f t="shared" ref="I48:I60" si="55">IFERROR(H48*s_IFAres_adj_d,".")</f>
        <v>211991.91906617882</v>
      </c>
      <c r="J48" s="72">
        <f t="shared" ref="J48:J60" si="56">IFERROR(H48*s_EFres*(1/365)*1*s_ETres*(1/24)*s_GSFa,".")</f>
        <v>132.75423503165797</v>
      </c>
      <c r="K48" s="71">
        <f>IFERROR(I48*up_isospec!$D14,".")</f>
        <v>1059959.595330894</v>
      </c>
      <c r="L48" s="73">
        <f>IFERROR(J48*up_isospec!$E14,".")</f>
        <v>663.77117515828991</v>
      </c>
      <c r="M48" s="74">
        <f t="shared" ref="M48:M60" si="57">SUM(K48:L48)</f>
        <v>1060623.3665060522</v>
      </c>
      <c r="N48" s="70">
        <f>Cia_222*s_AFss</f>
        <v>0.25</v>
      </c>
      <c r="O48" s="71">
        <f t="shared" ref="O48:O60" si="58">IFERROR(N48*s_IFAres_adj_d,".")</f>
        <v>25.065104166666664</v>
      </c>
      <c r="P48" s="72">
        <f t="shared" ref="P48:P60" si="59">IFERROR(N48*s_EFres*(1/365)*1*s_ETres*(1/24)*s_GSFa,".")</f>
        <v>1.5696347031963466E-2</v>
      </c>
      <c r="Q48" s="71">
        <f>O48*up_isospec!$D14</f>
        <v>125.32552083333331</v>
      </c>
      <c r="R48" s="73">
        <f>P48*up_isospec!$E14</f>
        <v>7.8481735159817323E-2</v>
      </c>
      <c r="S48" s="74">
        <f t="shared" ref="S48:S60" si="60">SUM(Q48:R48)</f>
        <v>125.40400256849313</v>
      </c>
      <c r="T48" s="75">
        <f>Cia_222*1000</f>
        <v>5000</v>
      </c>
      <c r="U48" s="71">
        <f>IFERROR(T48*s_EFw*1*s_ETw*(1/24)*s_IRAw,".")</f>
        <v>1718750</v>
      </c>
      <c r="V48" s="72">
        <f>IFERROR(T48*s_EFw*(1/365)*1*s_ETw*(1/24)*s_GSFa,".")</f>
        <v>313.92694063926939</v>
      </c>
      <c r="W48" s="76">
        <f>U48*up_isospec!$D14</f>
        <v>8593750</v>
      </c>
      <c r="X48" s="78">
        <f>V48*up_isospec!$E14</f>
        <v>1569.6347031963469</v>
      </c>
      <c r="Y48" s="74">
        <f>SUM(W48:X48)</f>
        <v>8595319.6347031966</v>
      </c>
      <c r="Z48" s="70">
        <f>IFERROR(Cia_222*(s_AFgw*1000*up_isospec!$M14),".")</f>
        <v>2114.4129070496797</v>
      </c>
      <c r="AA48" s="71">
        <f>IFERROR(Z48*s_EFw*1*s_ETw*(1/24)*s_IRAw,".")</f>
        <v>726829.43679832737</v>
      </c>
      <c r="AB48" s="72">
        <f>IFERROR(Z48*s_EFw*(1/365)*1*s_ETw*(1/24)*s_GSFa,".")</f>
        <v>132.75423503165797</v>
      </c>
      <c r="AC48" s="71">
        <f>IFERROR(AA48*up_isospec!$D14,".")</f>
        <v>3634147.1839916371</v>
      </c>
      <c r="AD48" s="73">
        <f>IFERROR(AB48*up_isospec!$E14,".")</f>
        <v>663.77117515828991</v>
      </c>
      <c r="AE48" s="74">
        <f t="shared" ref="AE48:AE60" si="61">SUM(AC48:AD48)</f>
        <v>3634810.9551667953</v>
      </c>
      <c r="AF48" s="70">
        <f>Cia_222*s_AFss</f>
        <v>0.25</v>
      </c>
      <c r="AG48" s="71">
        <f>IFERROR(AF48*s_EFw*1*s_ETw*(1/24)*s_IRAw,".")</f>
        <v>85.937499999999986</v>
      </c>
      <c r="AH48" s="72">
        <f>IFERROR(AF48*s_EFw*(1/365)*1*s_ETw*(1/24)*s_GSFa,".")</f>
        <v>1.5696347031963466E-2</v>
      </c>
      <c r="AI48" s="71">
        <f>AG48*up_isospec!$D14</f>
        <v>429.68749999999994</v>
      </c>
      <c r="AJ48" s="73">
        <f>AH48*up_isospec!$E14</f>
        <v>7.8481735159817323E-2</v>
      </c>
      <c r="AK48" s="74">
        <f t="shared" ref="AK48:AK60" si="62">SUM(AI48:AJ48)</f>
        <v>429.76598173515976</v>
      </c>
    </row>
    <row r="49" spans="1:37" x14ac:dyDescent="0.25">
      <c r="A49" s="23" t="str">
        <f>up_isospec!A15</f>
        <v>Rn-222~At-218</v>
      </c>
      <c r="B49" s="70">
        <f>B$48*s_Aeq_Feq!$B15</f>
        <v>0.72499999999999998</v>
      </c>
      <c r="C49" s="71">
        <f t="shared" si="53"/>
        <v>72.688802083333329</v>
      </c>
      <c r="D49" s="72">
        <f t="shared" si="54"/>
        <v>4.5519406392694063E-2</v>
      </c>
      <c r="E49" s="71">
        <f>C49*up_isospec!$D15</f>
        <v>363.44401041666663</v>
      </c>
      <c r="F49" s="73">
        <f>D49*up_isospec!$E15</f>
        <v>0.22759703196347031</v>
      </c>
      <c r="G49" s="74">
        <f t="shared" ref="G49:G60" si="63">SUM(E49:F49)</f>
        <v>363.67160744863008</v>
      </c>
      <c r="H49" s="70">
        <f>H$48*s_Aeq_Feq!$B15</f>
        <v>0.30658987152220357</v>
      </c>
      <c r="I49" s="71">
        <f t="shared" si="55"/>
        <v>30.738828264595927</v>
      </c>
      <c r="J49" s="72">
        <f t="shared" si="56"/>
        <v>1.9249364079590409E-2</v>
      </c>
      <c r="K49" s="71">
        <f>IFERROR(I49*up_isospec!$D15,".")</f>
        <v>153.69414132297965</v>
      </c>
      <c r="L49" s="73">
        <f>IFERROR(J49*up_isospec!$E15,".")</f>
        <v>9.6246820397952043E-2</v>
      </c>
      <c r="M49" s="74">
        <f t="shared" si="57"/>
        <v>153.79038814337761</v>
      </c>
      <c r="N49" s="70">
        <f>N$48*s_Aeq_Feq!$B15</f>
        <v>3.625E-5</v>
      </c>
      <c r="O49" s="71">
        <f t="shared" si="58"/>
        <v>3.6344401041666662E-3</v>
      </c>
      <c r="P49" s="72">
        <f t="shared" si="59"/>
        <v>2.2759703196347029E-6</v>
      </c>
      <c r="Q49" s="71">
        <f>O49*up_isospec!$D15</f>
        <v>1.8172200520833331E-2</v>
      </c>
      <c r="R49" s="73">
        <f>P49*up_isospec!$E15</f>
        <v>1.1379851598173514E-5</v>
      </c>
      <c r="S49" s="74">
        <f t="shared" si="60"/>
        <v>1.8183580372431504E-2</v>
      </c>
      <c r="T49" s="70">
        <f>T$48*s_Aeq_Feq!$C15</f>
        <v>0.72499999999999998</v>
      </c>
      <c r="U49" s="71">
        <f>IFERROR(T49*s_EFw*1*s_ETw*(1/24)*s_IRAw,".")</f>
        <v>249.21874999999997</v>
      </c>
      <c r="V49" s="72">
        <f>IFERROR(T49*s_EFw*(1/365)*1*s_ETw*(1/24)*s_GSFa,".")</f>
        <v>4.5519406392694063E-2</v>
      </c>
      <c r="W49" s="71">
        <f>U49*up_isospec!$D15</f>
        <v>1246.0937499999998</v>
      </c>
      <c r="X49" s="73">
        <f>V49*up_isospec!$E15</f>
        <v>0.22759703196347031</v>
      </c>
      <c r="Y49" s="74">
        <f t="shared" ref="Y49:Y60" si="64">SUM(W49:X49)</f>
        <v>1246.3213470319633</v>
      </c>
      <c r="Z49" s="70">
        <f>Z$48*s_Aeq_Feq!$C15</f>
        <v>0.30658987152220357</v>
      </c>
      <c r="AA49" s="71">
        <f>IFERROR(Z49*s_EFw*1*s_ETw*(1/24)*s_IRAw,".")</f>
        <v>105.39026833575748</v>
      </c>
      <c r="AB49" s="72">
        <f>IFERROR(Z49*s_EFw*(1/365)*1*s_ETw*(1/24)*s_GSFa,".")</f>
        <v>1.9249364079590409E-2</v>
      </c>
      <c r="AC49" s="71">
        <f>IFERROR(AA49*up_isospec!$D15,".")</f>
        <v>526.95134167878746</v>
      </c>
      <c r="AD49" s="73">
        <f>IFERROR(AB49*up_isospec!$E15,".")</f>
        <v>9.6246820397952043E-2</v>
      </c>
      <c r="AE49" s="74">
        <f t="shared" si="61"/>
        <v>527.04758849918539</v>
      </c>
      <c r="AF49" s="70">
        <f>AF$48*s_Aeq_Feq!$C15</f>
        <v>3.625E-5</v>
      </c>
      <c r="AG49" s="71">
        <f>IFERROR(AF49*s_EFw*1*s_ETw*(1/24)*s_IRAw,".")</f>
        <v>1.2460937499999996E-2</v>
      </c>
      <c r="AH49" s="72">
        <f>IFERROR(AF49*s_EFw*(1/365)*1*s_ETw*(1/24)*s_GSFa,".")</f>
        <v>2.2759703196347029E-6</v>
      </c>
      <c r="AI49" s="71">
        <f>AG49*up_isospec!$D15</f>
        <v>6.2304687499999983E-2</v>
      </c>
      <c r="AJ49" s="73">
        <f>AH49*up_isospec!$E15</f>
        <v>1.1379851598173514E-5</v>
      </c>
      <c r="AK49" s="74">
        <f t="shared" si="62"/>
        <v>6.2316067351598156E-2</v>
      </c>
    </row>
    <row r="50" spans="1:37" x14ac:dyDescent="0.25">
      <c r="A50" s="23" t="str">
        <f>up_isospec!A16</f>
        <v>Rn-222~Bi-210</v>
      </c>
      <c r="B50" s="70">
        <f>B$48*s_Aeq_Feq!$B16</f>
        <v>0</v>
      </c>
      <c r="C50" s="71">
        <f t="shared" si="53"/>
        <v>0</v>
      </c>
      <c r="D50" s="72">
        <f t="shared" si="54"/>
        <v>0</v>
      </c>
      <c r="E50" s="71">
        <f>C50*up_isospec!$D16</f>
        <v>0</v>
      </c>
      <c r="F50" s="73">
        <f>D50*up_isospec!$E16</f>
        <v>0</v>
      </c>
      <c r="G50" s="74">
        <f t="shared" si="63"/>
        <v>0</v>
      </c>
      <c r="H50" s="70">
        <f>H$48*s_Aeq_Feq!$B16</f>
        <v>0</v>
      </c>
      <c r="I50" s="71">
        <f t="shared" si="55"/>
        <v>0</v>
      </c>
      <c r="J50" s="72">
        <f t="shared" si="56"/>
        <v>0</v>
      </c>
      <c r="K50" s="71">
        <f>IFERROR(I50*up_isospec!$D16,".")</f>
        <v>0</v>
      </c>
      <c r="L50" s="73">
        <f>IFERROR(J50*up_isospec!$E16,".")</f>
        <v>0</v>
      </c>
      <c r="M50" s="74">
        <f t="shared" si="57"/>
        <v>0</v>
      </c>
      <c r="N50" s="70">
        <f>N$48*s_Aeq_Feq!$B16</f>
        <v>0</v>
      </c>
      <c r="O50" s="71">
        <f t="shared" si="58"/>
        <v>0</v>
      </c>
      <c r="P50" s="72">
        <f t="shared" si="59"/>
        <v>0</v>
      </c>
      <c r="Q50" s="71">
        <f>O50*up_isospec!$D16</f>
        <v>0</v>
      </c>
      <c r="R50" s="73">
        <f>P50*up_isospec!$E16</f>
        <v>0</v>
      </c>
      <c r="S50" s="74">
        <f t="shared" si="60"/>
        <v>0</v>
      </c>
      <c r="T50" s="70">
        <f>T$48*s_Aeq_Feq!$C16</f>
        <v>0</v>
      </c>
      <c r="U50" s="71">
        <f>IFERROR(T50*s_EFw*1*s_ETw*(1/24)*s_IRAw,".")</f>
        <v>0</v>
      </c>
      <c r="V50" s="72">
        <f>IFERROR(T50*s_EFw*(1/365)*1*s_ETw*(1/24)*s_GSFa,".")</f>
        <v>0</v>
      </c>
      <c r="W50" s="71">
        <f>U50*up_isospec!$D16</f>
        <v>0</v>
      </c>
      <c r="X50" s="73">
        <f>V50*up_isospec!$E16</f>
        <v>0</v>
      </c>
      <c r="Y50" s="74">
        <f t="shared" si="64"/>
        <v>0</v>
      </c>
      <c r="Z50" s="70">
        <f>Z$48*s_Aeq_Feq!$C16</f>
        <v>0</v>
      </c>
      <c r="AA50" s="71">
        <f>IFERROR(Z50*s_EFw*1*s_ETw*(1/24)*s_IRAw,".")</f>
        <v>0</v>
      </c>
      <c r="AB50" s="72">
        <f>IFERROR(Z50*s_EFw*(1/365)*1*s_ETw*(1/24)*s_GSFa,".")</f>
        <v>0</v>
      </c>
      <c r="AC50" s="71">
        <f>IFERROR(AA50*up_isospec!$D16,".")</f>
        <v>0</v>
      </c>
      <c r="AD50" s="73">
        <f>IFERROR(AB50*up_isospec!$E16,".")</f>
        <v>0</v>
      </c>
      <c r="AE50" s="74">
        <f t="shared" si="61"/>
        <v>0</v>
      </c>
      <c r="AF50" s="70">
        <f>AF$48*s_Aeq_Feq!$C16</f>
        <v>0</v>
      </c>
      <c r="AG50" s="71">
        <f>IFERROR(AF50*s_EFw*1*s_ETw*(1/24)*s_IRAw,".")</f>
        <v>0</v>
      </c>
      <c r="AH50" s="72">
        <f>IFERROR(AF50*s_EFw*(1/365)*1*s_ETw*(1/24)*s_GSFa,".")</f>
        <v>0</v>
      </c>
      <c r="AI50" s="71">
        <f>AG50*up_isospec!$D16</f>
        <v>0</v>
      </c>
      <c r="AJ50" s="73">
        <f>AH50*up_isospec!$E16</f>
        <v>0</v>
      </c>
      <c r="AK50" s="74">
        <f t="shared" si="62"/>
        <v>0</v>
      </c>
    </row>
    <row r="51" spans="1:37" x14ac:dyDescent="0.25">
      <c r="A51" s="23" t="str">
        <f>up_isospec!A17</f>
        <v>Rn-222~Bi-214</v>
      </c>
      <c r="B51" s="70">
        <f>B$48*s_Aeq_Feq!$B17</f>
        <v>254.5</v>
      </c>
      <c r="C51" s="71">
        <f t="shared" si="53"/>
        <v>25516.276041666664</v>
      </c>
      <c r="D51" s="72">
        <f t="shared" si="54"/>
        <v>15.978881278538811</v>
      </c>
      <c r="E51" s="71">
        <f>C51*up_isospec!$D17</f>
        <v>127581.38020833331</v>
      </c>
      <c r="F51" s="73">
        <f>D51*up_isospec!$E17</f>
        <v>79.894406392694052</v>
      </c>
      <c r="G51" s="74">
        <f t="shared" si="63"/>
        <v>127661.274614726</v>
      </c>
      <c r="H51" s="70">
        <f>H$48*s_Aeq_Feq!$B17</f>
        <v>107.6236169688287</v>
      </c>
      <c r="I51" s="71">
        <f t="shared" si="55"/>
        <v>10790.388680468501</v>
      </c>
      <c r="J51" s="72">
        <f t="shared" si="56"/>
        <v>6.7571905631113909</v>
      </c>
      <c r="K51" s="71">
        <f>IFERROR(I51*up_isospec!$D17,".")</f>
        <v>53951.943402342506</v>
      </c>
      <c r="L51" s="73">
        <f>IFERROR(J51*up_isospec!$E17,".")</f>
        <v>33.785952815556954</v>
      </c>
      <c r="M51" s="74">
        <f t="shared" si="57"/>
        <v>53985.729355158066</v>
      </c>
      <c r="N51" s="70">
        <f>N$48*s_Aeq_Feq!$B17</f>
        <v>1.2725E-2</v>
      </c>
      <c r="O51" s="71">
        <f t="shared" si="58"/>
        <v>1.2758138020833332</v>
      </c>
      <c r="P51" s="72">
        <f t="shared" si="59"/>
        <v>7.9894406392694056E-4</v>
      </c>
      <c r="Q51" s="71">
        <f>O51*up_isospec!$D17</f>
        <v>6.3790690104166661</v>
      </c>
      <c r="R51" s="73">
        <f>P51*up_isospec!$E17</f>
        <v>3.9947203196347026E-3</v>
      </c>
      <c r="S51" s="74">
        <f t="shared" si="60"/>
        <v>6.3830637307363007</v>
      </c>
      <c r="T51" s="70">
        <f>T$48*s_Aeq_Feq!$C17</f>
        <v>254.5</v>
      </c>
      <c r="U51" s="71">
        <f>IFERROR(T51*s_EFw*1*s_ETw*(1/24)*s_IRAw,".")</f>
        <v>87484.374999999985</v>
      </c>
      <c r="V51" s="72">
        <f>IFERROR(T51*s_EFw*(1/365)*1*s_ETw*(1/24)*s_GSFa,".")</f>
        <v>15.978881278538811</v>
      </c>
      <c r="W51" s="71">
        <f>U51*up_isospec!$D17</f>
        <v>437421.87499999994</v>
      </c>
      <c r="X51" s="73">
        <f>V51*up_isospec!$E17</f>
        <v>79.894406392694052</v>
      </c>
      <c r="Y51" s="74">
        <f t="shared" si="64"/>
        <v>437501.76940639265</v>
      </c>
      <c r="Z51" s="70">
        <f>Z$48*s_Aeq_Feq!$C17</f>
        <v>107.6236169688287</v>
      </c>
      <c r="AA51" s="71">
        <f>IFERROR(Z51*s_EFw*1*s_ETw*(1/24)*s_IRAw,".")</f>
        <v>36995.618333034865</v>
      </c>
      <c r="AB51" s="72">
        <f>IFERROR(Z51*s_EFw*(1/365)*1*s_ETw*(1/24)*s_GSFa,".")</f>
        <v>6.7571905631113909</v>
      </c>
      <c r="AC51" s="71">
        <f>IFERROR(AA51*up_isospec!$D17,".")</f>
        <v>184978.09166517432</v>
      </c>
      <c r="AD51" s="73">
        <f>IFERROR(AB51*up_isospec!$E17,".")</f>
        <v>33.785952815556954</v>
      </c>
      <c r="AE51" s="74">
        <f t="shared" si="61"/>
        <v>185011.87761798987</v>
      </c>
      <c r="AF51" s="70">
        <f>AF$48*s_Aeq_Feq!$C17</f>
        <v>1.2725E-2</v>
      </c>
      <c r="AG51" s="71">
        <f>IFERROR(AF51*s_EFw*1*s_ETw*(1/24)*s_IRAw,".")</f>
        <v>4.3742187499999998</v>
      </c>
      <c r="AH51" s="72">
        <f>IFERROR(AF51*s_EFw*(1/365)*1*s_ETw*(1/24)*s_GSFa,".")</f>
        <v>7.9894406392694056E-4</v>
      </c>
      <c r="AI51" s="71">
        <f>AG51*up_isospec!$D17</f>
        <v>21.87109375</v>
      </c>
      <c r="AJ51" s="73">
        <f>AH51*up_isospec!$E17</f>
        <v>3.9947203196347026E-3</v>
      </c>
      <c r="AK51" s="74">
        <f t="shared" si="62"/>
        <v>21.875088470319636</v>
      </c>
    </row>
    <row r="52" spans="1:37" x14ac:dyDescent="0.25">
      <c r="A52" s="23" t="str">
        <f>up_isospec!A18</f>
        <v>Rn-222~Hg-206</v>
      </c>
      <c r="B52" s="70">
        <f>B$48*s_Aeq_Feq!$B18</f>
        <v>0</v>
      </c>
      <c r="C52" s="71">
        <f t="shared" si="53"/>
        <v>0</v>
      </c>
      <c r="D52" s="72">
        <f t="shared" si="54"/>
        <v>0</v>
      </c>
      <c r="E52" s="71">
        <f>C52*up_isospec!$D18</f>
        <v>0</v>
      </c>
      <c r="F52" s="73">
        <f>D52*up_isospec!$E18</f>
        <v>0</v>
      </c>
      <c r="G52" s="74">
        <f t="shared" si="63"/>
        <v>0</v>
      </c>
      <c r="H52" s="70">
        <f>H$48*s_Aeq_Feq!$B18</f>
        <v>0</v>
      </c>
      <c r="I52" s="71">
        <f t="shared" si="55"/>
        <v>0</v>
      </c>
      <c r="J52" s="72">
        <f t="shared" si="56"/>
        <v>0</v>
      </c>
      <c r="K52" s="71">
        <f>IFERROR(I52*up_isospec!$D18,".")</f>
        <v>0</v>
      </c>
      <c r="L52" s="73">
        <f>IFERROR(J52*up_isospec!$E18,".")</f>
        <v>0</v>
      </c>
      <c r="M52" s="74">
        <f t="shared" si="57"/>
        <v>0</v>
      </c>
      <c r="N52" s="70">
        <f>N$48*s_Aeq_Feq!$B18</f>
        <v>0</v>
      </c>
      <c r="O52" s="71">
        <f t="shared" si="58"/>
        <v>0</v>
      </c>
      <c r="P52" s="72">
        <f t="shared" si="59"/>
        <v>0</v>
      </c>
      <c r="Q52" s="71">
        <f>O52*up_isospec!$D18</f>
        <v>0</v>
      </c>
      <c r="R52" s="73">
        <f>P52*up_isospec!$E18</f>
        <v>0</v>
      </c>
      <c r="S52" s="74">
        <f t="shared" si="60"/>
        <v>0</v>
      </c>
      <c r="T52" s="70">
        <f>T$48*s_Aeq_Feq!$C18</f>
        <v>0</v>
      </c>
      <c r="U52" s="71">
        <f>IFERROR(T52*s_EFw*1*s_ETw*(1/24)*s_IRAw,".")</f>
        <v>0</v>
      </c>
      <c r="V52" s="72">
        <f>IFERROR(T52*s_EFw*(1/365)*1*s_ETw*(1/24)*s_GSFa,".")</f>
        <v>0</v>
      </c>
      <c r="W52" s="71">
        <f>U52*up_isospec!$D18</f>
        <v>0</v>
      </c>
      <c r="X52" s="73">
        <f>V52*up_isospec!$E18</f>
        <v>0</v>
      </c>
      <c r="Y52" s="74">
        <f t="shared" si="64"/>
        <v>0</v>
      </c>
      <c r="Z52" s="70">
        <f>Z$48*s_Aeq_Feq!$C18</f>
        <v>0</v>
      </c>
      <c r="AA52" s="71">
        <f>IFERROR(Z52*s_EFw*1*s_ETw*(1/24)*s_IRAw,".")</f>
        <v>0</v>
      </c>
      <c r="AB52" s="72">
        <f>IFERROR(Z52*s_EFw*(1/365)*1*s_ETw*(1/24)*s_GSFa,".")</f>
        <v>0</v>
      </c>
      <c r="AC52" s="71">
        <f>IFERROR(AA52*up_isospec!$D18,".")</f>
        <v>0</v>
      </c>
      <c r="AD52" s="73">
        <f>IFERROR(AB52*up_isospec!$E18,".")</f>
        <v>0</v>
      </c>
      <c r="AE52" s="74">
        <f t="shared" si="61"/>
        <v>0</v>
      </c>
      <c r="AF52" s="70">
        <f>AF$48*s_Aeq_Feq!$C18</f>
        <v>0</v>
      </c>
      <c r="AG52" s="71">
        <f>IFERROR(AF52*s_EFw*1*s_ETw*(1/24)*s_IRAw,".")</f>
        <v>0</v>
      </c>
      <c r="AH52" s="72">
        <f>IFERROR(AF52*s_EFw*(1/365)*1*s_ETw*(1/24)*s_GSFa,".")</f>
        <v>0</v>
      </c>
      <c r="AI52" s="71">
        <f>AG52*up_isospec!$D18</f>
        <v>0</v>
      </c>
      <c r="AJ52" s="73">
        <f>AH52*up_isospec!$E18</f>
        <v>0</v>
      </c>
      <c r="AK52" s="74">
        <f t="shared" si="62"/>
        <v>0</v>
      </c>
    </row>
    <row r="53" spans="1:37" x14ac:dyDescent="0.25">
      <c r="A53" s="23" t="str">
        <f>up_isospec!A19</f>
        <v>Rn-222~Pb-210</v>
      </c>
      <c r="B53" s="70">
        <f>B$48*s_Aeq_Feq!$B19</f>
        <v>0</v>
      </c>
      <c r="C53" s="71">
        <f t="shared" si="53"/>
        <v>0</v>
      </c>
      <c r="D53" s="72">
        <f t="shared" si="54"/>
        <v>0</v>
      </c>
      <c r="E53" s="71">
        <f>C53*up_isospec!$D19</f>
        <v>0</v>
      </c>
      <c r="F53" s="73">
        <f>D53*up_isospec!$E19</f>
        <v>0</v>
      </c>
      <c r="G53" s="74">
        <f t="shared" si="63"/>
        <v>0</v>
      </c>
      <c r="H53" s="70">
        <f>H$48*s_Aeq_Feq!$B19</f>
        <v>0</v>
      </c>
      <c r="I53" s="71">
        <f t="shared" si="55"/>
        <v>0</v>
      </c>
      <c r="J53" s="72">
        <f t="shared" si="56"/>
        <v>0</v>
      </c>
      <c r="K53" s="71">
        <f>IFERROR(I53*up_isospec!$D19,".")</f>
        <v>0</v>
      </c>
      <c r="L53" s="73">
        <f>IFERROR(J53*up_isospec!$E19,".")</f>
        <v>0</v>
      </c>
      <c r="M53" s="74">
        <f t="shared" si="57"/>
        <v>0</v>
      </c>
      <c r="N53" s="70">
        <f>N$48*s_Aeq_Feq!$B19</f>
        <v>0</v>
      </c>
      <c r="O53" s="71">
        <f t="shared" si="58"/>
        <v>0</v>
      </c>
      <c r="P53" s="72">
        <f t="shared" si="59"/>
        <v>0</v>
      </c>
      <c r="Q53" s="71">
        <f>O53*up_isospec!$D19</f>
        <v>0</v>
      </c>
      <c r="R53" s="73">
        <f>P53*up_isospec!$E19</f>
        <v>0</v>
      </c>
      <c r="S53" s="74">
        <f t="shared" si="60"/>
        <v>0</v>
      </c>
      <c r="T53" s="70">
        <f>T$48*s_Aeq_Feq!$C19</f>
        <v>0</v>
      </c>
      <c r="U53" s="71">
        <f>IFERROR(T53*s_EFw*1*s_ETw*(1/24)*s_IRAw,".")</f>
        <v>0</v>
      </c>
      <c r="V53" s="72">
        <f>IFERROR(T53*s_EFw*(1/365)*1*s_ETw*(1/24)*s_GSFa,".")</f>
        <v>0</v>
      </c>
      <c r="W53" s="71">
        <f>U53*up_isospec!$D19</f>
        <v>0</v>
      </c>
      <c r="X53" s="73">
        <f>V53*up_isospec!$E19</f>
        <v>0</v>
      </c>
      <c r="Y53" s="74">
        <f t="shared" si="64"/>
        <v>0</v>
      </c>
      <c r="Z53" s="70">
        <f>Z$48*s_Aeq_Feq!$C19</f>
        <v>0</v>
      </c>
      <c r="AA53" s="71">
        <f>IFERROR(Z53*s_EFw*1*s_ETw*(1/24)*s_IRAw,".")</f>
        <v>0</v>
      </c>
      <c r="AB53" s="72">
        <f>IFERROR(Z53*s_EFw*(1/365)*1*s_ETw*(1/24)*s_GSFa,".")</f>
        <v>0</v>
      </c>
      <c r="AC53" s="71">
        <f>IFERROR(AA53*up_isospec!$D19,".")</f>
        <v>0</v>
      </c>
      <c r="AD53" s="73">
        <f>IFERROR(AB53*up_isospec!$E19,".")</f>
        <v>0</v>
      </c>
      <c r="AE53" s="74">
        <f t="shared" si="61"/>
        <v>0</v>
      </c>
      <c r="AF53" s="70">
        <f>AF$48*s_Aeq_Feq!$C19</f>
        <v>0</v>
      </c>
      <c r="AG53" s="71">
        <f>IFERROR(AF53*s_EFw*1*s_ETw*(1/24)*s_IRAw,".")</f>
        <v>0</v>
      </c>
      <c r="AH53" s="72">
        <f>IFERROR(AF53*s_EFw*(1/365)*1*s_ETw*(1/24)*s_GSFa,".")</f>
        <v>0</v>
      </c>
      <c r="AI53" s="71">
        <f>AG53*up_isospec!$D19</f>
        <v>0</v>
      </c>
      <c r="AJ53" s="73">
        <f>AH53*up_isospec!$E19</f>
        <v>0</v>
      </c>
      <c r="AK53" s="74">
        <f t="shared" si="62"/>
        <v>0</v>
      </c>
    </row>
    <row r="54" spans="1:37" x14ac:dyDescent="0.25">
      <c r="A54" s="23" t="str">
        <f>up_isospec!A20</f>
        <v>Rn-222~Pb-214</v>
      </c>
      <c r="B54" s="70">
        <f>B$48*s_Aeq_Feq!$B20</f>
        <v>864.99999999999989</v>
      </c>
      <c r="C54" s="71">
        <f t="shared" si="53"/>
        <v>86725.260416666642</v>
      </c>
      <c r="D54" s="72">
        <f t="shared" si="54"/>
        <v>54.309360730593603</v>
      </c>
      <c r="E54" s="71">
        <f>C54*up_isospec!$D20</f>
        <v>433626.3020833332</v>
      </c>
      <c r="F54" s="73">
        <f>D54*up_isospec!$E20</f>
        <v>271.54680365296804</v>
      </c>
      <c r="G54" s="74">
        <f t="shared" si="63"/>
        <v>433897.84888698615</v>
      </c>
      <c r="H54" s="70">
        <f>H$48*s_Aeq_Feq!$B20</f>
        <v>365.79343291959458</v>
      </c>
      <c r="I54" s="71">
        <f t="shared" si="55"/>
        <v>36674.601998448932</v>
      </c>
      <c r="J54" s="72">
        <f t="shared" si="56"/>
        <v>22.966482660476828</v>
      </c>
      <c r="K54" s="71">
        <f>IFERROR(I54*up_isospec!$D20,".")</f>
        <v>183373.00999224465</v>
      </c>
      <c r="L54" s="73">
        <f>IFERROR(J54*up_isospec!$E20,".")</f>
        <v>114.83241330238414</v>
      </c>
      <c r="M54" s="74">
        <f t="shared" si="57"/>
        <v>183487.84240554704</v>
      </c>
      <c r="N54" s="70">
        <f>N$48*s_Aeq_Feq!$B20</f>
        <v>4.3249999999999997E-2</v>
      </c>
      <c r="O54" s="71">
        <f t="shared" si="58"/>
        <v>4.336263020833333</v>
      </c>
      <c r="P54" s="72">
        <f t="shared" si="59"/>
        <v>2.7154680365296799E-3</v>
      </c>
      <c r="Q54" s="71">
        <f>O54*up_isospec!$D20</f>
        <v>21.681315104166664</v>
      </c>
      <c r="R54" s="73">
        <f>P54*up_isospec!$E20</f>
        <v>1.35773401826484E-2</v>
      </c>
      <c r="S54" s="74">
        <f t="shared" si="60"/>
        <v>21.694892444349314</v>
      </c>
      <c r="T54" s="70">
        <f>T$48*s_Aeq_Feq!$C20</f>
        <v>864.99999999999989</v>
      </c>
      <c r="U54" s="71">
        <f>IFERROR(T54*s_EFw*1*s_ETw*(1/24)*s_IRAw,".")</f>
        <v>297343.74999999994</v>
      </c>
      <c r="V54" s="72">
        <f>IFERROR(T54*s_EFw*(1/365)*1*s_ETw*(1/24)*s_GSFa,".")</f>
        <v>54.309360730593603</v>
      </c>
      <c r="W54" s="71">
        <f>U54*up_isospec!$D20</f>
        <v>1486718.7499999998</v>
      </c>
      <c r="X54" s="73">
        <f>V54*up_isospec!$E20</f>
        <v>271.54680365296804</v>
      </c>
      <c r="Y54" s="74">
        <f t="shared" si="64"/>
        <v>1486990.2968036528</v>
      </c>
      <c r="Z54" s="70">
        <f>Z$48*s_Aeq_Feq!$C20</f>
        <v>365.79343291959458</v>
      </c>
      <c r="AA54" s="71">
        <f>IFERROR(Z54*s_EFw*1*s_ETw*(1/24)*s_IRAw,".")</f>
        <v>125741.49256611062</v>
      </c>
      <c r="AB54" s="72">
        <f>IFERROR(Z54*s_EFw*(1/365)*1*s_ETw*(1/24)*s_GSFa,".")</f>
        <v>22.966482660476828</v>
      </c>
      <c r="AC54" s="71">
        <f>IFERROR(AA54*up_isospec!$D20,".")</f>
        <v>628707.46283055306</v>
      </c>
      <c r="AD54" s="73">
        <f>IFERROR(AB54*up_isospec!$E20,".")</f>
        <v>114.83241330238414</v>
      </c>
      <c r="AE54" s="74">
        <f t="shared" si="61"/>
        <v>628822.29524385545</v>
      </c>
      <c r="AF54" s="70">
        <f>AF$48*s_Aeq_Feq!$C20</f>
        <v>4.3249999999999997E-2</v>
      </c>
      <c r="AG54" s="71">
        <f>IFERROR(AF54*s_EFw*1*s_ETw*(1/24)*s_IRAw,".")</f>
        <v>14.867187499999998</v>
      </c>
      <c r="AH54" s="72">
        <f>IFERROR(AF54*s_EFw*(1/365)*1*s_ETw*(1/24)*s_GSFa,".")</f>
        <v>2.7154680365296799E-3</v>
      </c>
      <c r="AI54" s="71">
        <f>AG54*up_isospec!$D20</f>
        <v>74.335937499999986</v>
      </c>
      <c r="AJ54" s="73">
        <f>AH54*up_isospec!$E20</f>
        <v>1.35773401826484E-2</v>
      </c>
      <c r="AK54" s="74">
        <f t="shared" si="62"/>
        <v>74.349514840182636</v>
      </c>
    </row>
    <row r="55" spans="1:37" x14ac:dyDescent="0.25">
      <c r="A55" s="23" t="str">
        <f>up_isospec!A21</f>
        <v>Rn-222~Po-210</v>
      </c>
      <c r="B55" s="70">
        <f>B$48*s_Aeq_Feq!$B21</f>
        <v>0</v>
      </c>
      <c r="C55" s="71">
        <f t="shared" si="53"/>
        <v>0</v>
      </c>
      <c r="D55" s="72">
        <f t="shared" si="54"/>
        <v>0</v>
      </c>
      <c r="E55" s="71">
        <f>C55*up_isospec!$D21</f>
        <v>0</v>
      </c>
      <c r="F55" s="73">
        <f>D55*up_isospec!$E21</f>
        <v>0</v>
      </c>
      <c r="G55" s="74">
        <f t="shared" si="63"/>
        <v>0</v>
      </c>
      <c r="H55" s="70">
        <f>H$48*s_Aeq_Feq!$B21</f>
        <v>0</v>
      </c>
      <c r="I55" s="71">
        <f t="shared" si="55"/>
        <v>0</v>
      </c>
      <c r="J55" s="72">
        <f t="shared" si="56"/>
        <v>0</v>
      </c>
      <c r="K55" s="71">
        <f>IFERROR(I55*up_isospec!$D21,".")</f>
        <v>0</v>
      </c>
      <c r="L55" s="73">
        <f>IFERROR(J55*up_isospec!$E21,".")</f>
        <v>0</v>
      </c>
      <c r="M55" s="74">
        <f t="shared" si="57"/>
        <v>0</v>
      </c>
      <c r="N55" s="70">
        <f>N$48*s_Aeq_Feq!$B21</f>
        <v>0</v>
      </c>
      <c r="O55" s="71">
        <f t="shared" si="58"/>
        <v>0</v>
      </c>
      <c r="P55" s="72">
        <f t="shared" si="59"/>
        <v>0</v>
      </c>
      <c r="Q55" s="71">
        <f>O55*up_isospec!$D21</f>
        <v>0</v>
      </c>
      <c r="R55" s="73">
        <f>P55*up_isospec!$E21</f>
        <v>0</v>
      </c>
      <c r="S55" s="74">
        <f t="shared" si="60"/>
        <v>0</v>
      </c>
      <c r="T55" s="70">
        <f>T$48*s_Aeq_Feq!$C21</f>
        <v>0</v>
      </c>
      <c r="U55" s="71">
        <f>IFERROR(T55*s_EFw*1*s_ETw*(1/24)*s_IRAw,".")</f>
        <v>0</v>
      </c>
      <c r="V55" s="72">
        <f>IFERROR(T55*s_EFw*(1/365)*1*s_ETw*(1/24)*s_GSFa,".")</f>
        <v>0</v>
      </c>
      <c r="W55" s="71">
        <f>U55*up_isospec!$D21</f>
        <v>0</v>
      </c>
      <c r="X55" s="73">
        <f>V55*up_isospec!$E21</f>
        <v>0</v>
      </c>
      <c r="Y55" s="74">
        <f t="shared" si="64"/>
        <v>0</v>
      </c>
      <c r="Z55" s="70">
        <f>Z$48*s_Aeq_Feq!$C21</f>
        <v>0</v>
      </c>
      <c r="AA55" s="71">
        <f>IFERROR(Z55*s_EFw*1*s_ETw*(1/24)*s_IRAw,".")</f>
        <v>0</v>
      </c>
      <c r="AB55" s="72">
        <f>IFERROR(Z55*s_EFw*(1/365)*1*s_ETw*(1/24)*s_GSFa,".")</f>
        <v>0</v>
      </c>
      <c r="AC55" s="71">
        <f>IFERROR(AA55*up_isospec!$D21,".")</f>
        <v>0</v>
      </c>
      <c r="AD55" s="73">
        <f>IFERROR(AB55*up_isospec!$E21,".")</f>
        <v>0</v>
      </c>
      <c r="AE55" s="74">
        <f t="shared" si="61"/>
        <v>0</v>
      </c>
      <c r="AF55" s="70">
        <f>AF$48*s_Aeq_Feq!$C21</f>
        <v>0</v>
      </c>
      <c r="AG55" s="71">
        <f>IFERROR(AF55*s_EFw*1*s_ETw*(1/24)*s_IRAw,".")</f>
        <v>0</v>
      </c>
      <c r="AH55" s="72">
        <f>IFERROR(AF55*s_EFw*(1/365)*1*s_ETw*(1/24)*s_GSFa,".")</f>
        <v>0</v>
      </c>
      <c r="AI55" s="71">
        <f>AG55*up_isospec!$D21</f>
        <v>0</v>
      </c>
      <c r="AJ55" s="73">
        <f>AH55*up_isospec!$E21</f>
        <v>0</v>
      </c>
      <c r="AK55" s="74">
        <f t="shared" si="62"/>
        <v>0</v>
      </c>
    </row>
    <row r="56" spans="1:37" x14ac:dyDescent="0.25">
      <c r="A56" s="23" t="str">
        <f>up_isospec!A22</f>
        <v>Rn-222~Po-214</v>
      </c>
      <c r="B56" s="70">
        <f>B$48*s_Aeq_Feq!$B22</f>
        <v>254.5</v>
      </c>
      <c r="C56" s="71">
        <f t="shared" si="53"/>
        <v>25516.276041666664</v>
      </c>
      <c r="D56" s="72">
        <f t="shared" si="54"/>
        <v>15.978881278538811</v>
      </c>
      <c r="E56" s="71">
        <f>C56*up_isospec!$D22</f>
        <v>127581.38020833331</v>
      </c>
      <c r="F56" s="73">
        <f>D56*up_isospec!$E22</f>
        <v>79.894406392694052</v>
      </c>
      <c r="G56" s="74">
        <f t="shared" si="63"/>
        <v>127661.274614726</v>
      </c>
      <c r="H56" s="70">
        <f>H$48*s_Aeq_Feq!$B22</f>
        <v>107.6236169688287</v>
      </c>
      <c r="I56" s="71">
        <f t="shared" si="55"/>
        <v>10790.388680468501</v>
      </c>
      <c r="J56" s="72">
        <f t="shared" si="56"/>
        <v>6.7571905631113909</v>
      </c>
      <c r="K56" s="71">
        <f>IFERROR(I56*up_isospec!$D22,".")</f>
        <v>53951.943402342506</v>
      </c>
      <c r="L56" s="73">
        <f>IFERROR(J56*up_isospec!$E22,".")</f>
        <v>33.785952815556954</v>
      </c>
      <c r="M56" s="74">
        <f t="shared" si="57"/>
        <v>53985.729355158066</v>
      </c>
      <c r="N56" s="70">
        <f>N$48*s_Aeq_Feq!$B22</f>
        <v>1.2725E-2</v>
      </c>
      <c r="O56" s="71">
        <f t="shared" si="58"/>
        <v>1.2758138020833332</v>
      </c>
      <c r="P56" s="72">
        <f t="shared" si="59"/>
        <v>7.9894406392694056E-4</v>
      </c>
      <c r="Q56" s="71">
        <f>O56*up_isospec!$D22</f>
        <v>6.3790690104166661</v>
      </c>
      <c r="R56" s="73">
        <f>P56*up_isospec!$E22</f>
        <v>3.9947203196347026E-3</v>
      </c>
      <c r="S56" s="74">
        <f t="shared" si="60"/>
        <v>6.3830637307363007</v>
      </c>
      <c r="T56" s="70">
        <f>T$48*s_Aeq_Feq!$C22</f>
        <v>254.5</v>
      </c>
      <c r="U56" s="71">
        <f>IFERROR(T56*s_EFw*1*s_ETw*(1/24)*s_IRAw,".")</f>
        <v>87484.374999999985</v>
      </c>
      <c r="V56" s="72">
        <f>IFERROR(T56*s_EFw*(1/365)*1*s_ETw*(1/24)*s_GSFa,".")</f>
        <v>15.978881278538811</v>
      </c>
      <c r="W56" s="71">
        <f>U56*up_isospec!$D22</f>
        <v>437421.87499999994</v>
      </c>
      <c r="X56" s="73">
        <f>V56*up_isospec!$E22</f>
        <v>79.894406392694052</v>
      </c>
      <c r="Y56" s="74">
        <f t="shared" si="64"/>
        <v>437501.76940639265</v>
      </c>
      <c r="Z56" s="70">
        <f>Z$48*s_Aeq_Feq!$C22</f>
        <v>107.6236169688287</v>
      </c>
      <c r="AA56" s="71">
        <f>IFERROR(Z56*s_EFw*1*s_ETw*(1/24)*s_IRAw,".")</f>
        <v>36995.618333034865</v>
      </c>
      <c r="AB56" s="72">
        <f>IFERROR(Z56*s_EFw*(1/365)*1*s_ETw*(1/24)*s_GSFa,".")</f>
        <v>6.7571905631113909</v>
      </c>
      <c r="AC56" s="71">
        <f>IFERROR(AA56*up_isospec!$D22,".")</f>
        <v>184978.09166517432</v>
      </c>
      <c r="AD56" s="73">
        <f>IFERROR(AB56*up_isospec!$E22,".")</f>
        <v>33.785952815556954</v>
      </c>
      <c r="AE56" s="74">
        <f t="shared" si="61"/>
        <v>185011.87761798987</v>
      </c>
      <c r="AF56" s="70">
        <f>AF$48*s_Aeq_Feq!$C22</f>
        <v>1.2725E-2</v>
      </c>
      <c r="AG56" s="71">
        <f>IFERROR(AF56*s_EFw*1*s_ETw*(1/24)*s_IRAw,".")</f>
        <v>4.3742187499999998</v>
      </c>
      <c r="AH56" s="72">
        <f>IFERROR(AF56*s_EFw*(1/365)*1*s_ETw*(1/24)*s_GSFa,".")</f>
        <v>7.9894406392694056E-4</v>
      </c>
      <c r="AI56" s="71">
        <f>AG56*up_isospec!$D22</f>
        <v>21.87109375</v>
      </c>
      <c r="AJ56" s="73">
        <f>AH56*up_isospec!$E22</f>
        <v>3.9947203196347026E-3</v>
      </c>
      <c r="AK56" s="74">
        <f t="shared" si="62"/>
        <v>21.875088470319636</v>
      </c>
    </row>
    <row r="57" spans="1:37" x14ac:dyDescent="0.25">
      <c r="A57" s="23" t="str">
        <f>up_isospec!A23</f>
        <v>Rn-222~Po-218</v>
      </c>
      <c r="B57" s="70">
        <f>B$48*s_Aeq_Feq!$B23</f>
        <v>3640</v>
      </c>
      <c r="C57" s="71">
        <f t="shared" si="53"/>
        <v>364947.91666666663</v>
      </c>
      <c r="D57" s="72">
        <f t="shared" si="54"/>
        <v>228.53881278538813</v>
      </c>
      <c r="E57" s="71">
        <f>C57*up_isospec!$D23</f>
        <v>1824739.583333333</v>
      </c>
      <c r="F57" s="73">
        <f>D57*up_isospec!$E23</f>
        <v>1142.6940639269405</v>
      </c>
      <c r="G57" s="74">
        <f t="shared" si="63"/>
        <v>1825882.2773972601</v>
      </c>
      <c r="H57" s="70">
        <f>H$48*s_Aeq_Feq!$B23</f>
        <v>1539.2925963321668</v>
      </c>
      <c r="I57" s="71">
        <f t="shared" si="55"/>
        <v>154330.11708017817</v>
      </c>
      <c r="J57" s="72">
        <f t="shared" si="56"/>
        <v>96.645083103047</v>
      </c>
      <c r="K57" s="71">
        <f>IFERROR(I57*up_isospec!$D23,".")</f>
        <v>771650.58540089079</v>
      </c>
      <c r="L57" s="73">
        <f>IFERROR(J57*up_isospec!$E23,".")</f>
        <v>483.225415515235</v>
      </c>
      <c r="M57" s="74">
        <f t="shared" si="57"/>
        <v>772133.81081640604</v>
      </c>
      <c r="N57" s="70">
        <f>N$48*s_Aeq_Feq!$B23</f>
        <v>0.182</v>
      </c>
      <c r="O57" s="71">
        <f t="shared" si="58"/>
        <v>18.247395833333332</v>
      </c>
      <c r="P57" s="72">
        <f t="shared" si="59"/>
        <v>1.1426940639269407E-2</v>
      </c>
      <c r="Q57" s="71">
        <f>O57*up_isospec!$D23</f>
        <v>91.236979166666657</v>
      </c>
      <c r="R57" s="73">
        <f>P57*up_isospec!$E23</f>
        <v>5.7134703196347031E-2</v>
      </c>
      <c r="S57" s="74">
        <f t="shared" si="60"/>
        <v>91.294113869863011</v>
      </c>
      <c r="T57" s="70">
        <f>T$48*s_Aeq_Feq!$C23</f>
        <v>3640</v>
      </c>
      <c r="U57" s="71">
        <f>IFERROR(T57*s_EFw*1*s_ETw*(1/24)*s_IRAw,".")</f>
        <v>1251249.9999999998</v>
      </c>
      <c r="V57" s="72">
        <f>IFERROR(T57*s_EFw*(1/365)*1*s_ETw*(1/24)*s_GSFa,".")</f>
        <v>228.53881278538813</v>
      </c>
      <c r="W57" s="71">
        <f>U57*up_isospec!$D23</f>
        <v>6256249.9999999991</v>
      </c>
      <c r="X57" s="73">
        <f>V57*up_isospec!$E23</f>
        <v>1142.6940639269405</v>
      </c>
      <c r="Y57" s="74">
        <f t="shared" si="64"/>
        <v>6257392.6940639261</v>
      </c>
      <c r="Z57" s="70">
        <f>Z$48*s_Aeq_Feq!$C23</f>
        <v>1539.2925963321668</v>
      </c>
      <c r="AA57" s="71">
        <f>IFERROR(Z57*s_EFw*1*s_ETw*(1/24)*s_IRAw,".")</f>
        <v>529131.8299891823</v>
      </c>
      <c r="AB57" s="72">
        <f>IFERROR(Z57*s_EFw*(1/365)*1*s_ETw*(1/24)*s_GSFa,".")</f>
        <v>96.645083103047</v>
      </c>
      <c r="AC57" s="71">
        <f>IFERROR(AA57*up_isospec!$D23,".")</f>
        <v>2645659.1499459115</v>
      </c>
      <c r="AD57" s="73">
        <f>IFERROR(AB57*up_isospec!$E23,".")</f>
        <v>483.225415515235</v>
      </c>
      <c r="AE57" s="74">
        <f t="shared" si="61"/>
        <v>2646142.3753614267</v>
      </c>
      <c r="AF57" s="70">
        <f>AF$48*s_Aeq_Feq!$C23</f>
        <v>0.182</v>
      </c>
      <c r="AG57" s="71">
        <f>IFERROR(AF57*s_EFw*1*s_ETw*(1/24)*s_IRAw,".")</f>
        <v>62.562499999999986</v>
      </c>
      <c r="AH57" s="72">
        <f>IFERROR(AF57*s_EFw*(1/365)*1*s_ETw*(1/24)*s_GSFa,".")</f>
        <v>1.1426940639269407E-2</v>
      </c>
      <c r="AI57" s="71">
        <f>AG57*up_isospec!$D23</f>
        <v>312.81249999999994</v>
      </c>
      <c r="AJ57" s="73">
        <f>AH57*up_isospec!$E23</f>
        <v>5.7134703196347031E-2</v>
      </c>
      <c r="AK57" s="74">
        <f t="shared" si="62"/>
        <v>312.86963470319631</v>
      </c>
    </row>
    <row r="58" spans="1:37" x14ac:dyDescent="0.25">
      <c r="A58" s="23" t="str">
        <f>up_isospec!A24</f>
        <v>Rn-222~Rn-218</v>
      </c>
      <c r="B58" s="70">
        <f>B$48*s_Aeq_Feq!$B24</f>
        <v>7.2499999999999995E-4</v>
      </c>
      <c r="C58" s="71">
        <f t="shared" si="53"/>
        <v>7.2688802083333323E-2</v>
      </c>
      <c r="D58" s="72">
        <f t="shared" si="54"/>
        <v>4.5519406392694049E-5</v>
      </c>
      <c r="E58" s="71">
        <f>C58*up_isospec!$D24</f>
        <v>0.36344401041666663</v>
      </c>
      <c r="F58" s="73">
        <f>D58*up_isospec!$E24</f>
        <v>2.2759703196347024E-4</v>
      </c>
      <c r="G58" s="74">
        <f t="shared" si="63"/>
        <v>0.36367160744863009</v>
      </c>
      <c r="H58" s="70">
        <f>H$48*s_Aeq_Feq!$B24</f>
        <v>3.0658987152220354E-4</v>
      </c>
      <c r="I58" s="71">
        <f t="shared" si="55"/>
        <v>3.0738828264595924E-2</v>
      </c>
      <c r="J58" s="72">
        <f t="shared" si="56"/>
        <v>1.9249364079590405E-5</v>
      </c>
      <c r="K58" s="71">
        <f>IFERROR(I58*up_isospec!$D24,".")</f>
        <v>0.15369414132297962</v>
      </c>
      <c r="L58" s="73">
        <f>IFERROR(J58*up_isospec!$E24,".")</f>
        <v>9.6246820397952019E-5</v>
      </c>
      <c r="M58" s="74">
        <f t="shared" si="57"/>
        <v>0.15379038814337756</v>
      </c>
      <c r="N58" s="70">
        <f>N$48*s_Aeq_Feq!$B24</f>
        <v>3.6249999999999997E-8</v>
      </c>
      <c r="O58" s="71">
        <f t="shared" si="58"/>
        <v>3.6344401041666661E-6</v>
      </c>
      <c r="P58" s="72">
        <f t="shared" si="59"/>
        <v>2.2759703196347031E-9</v>
      </c>
      <c r="Q58" s="71">
        <f>O58*up_isospec!$D24</f>
        <v>1.8172200520833331E-5</v>
      </c>
      <c r="R58" s="73">
        <f>P58*up_isospec!$E24</f>
        <v>1.1379851598173515E-8</v>
      </c>
      <c r="S58" s="74">
        <f t="shared" si="60"/>
        <v>1.8183580372431505E-5</v>
      </c>
      <c r="T58" s="70">
        <f>T$48*s_Aeq_Feq!$C24</f>
        <v>7.2499999999999995E-4</v>
      </c>
      <c r="U58" s="71">
        <f>IFERROR(T58*s_EFw*1*s_ETw*(1/24)*s_IRAw,".")</f>
        <v>0.24921874999999993</v>
      </c>
      <c r="V58" s="72">
        <f>IFERROR(T58*s_EFw*(1/365)*1*s_ETw*(1/24)*s_GSFa,".")</f>
        <v>4.5519406392694049E-5</v>
      </c>
      <c r="W58" s="71">
        <f>U58*up_isospec!$D24</f>
        <v>1.2460937499999996</v>
      </c>
      <c r="X58" s="73">
        <f>V58*up_isospec!$E24</f>
        <v>2.2759703196347024E-4</v>
      </c>
      <c r="Y58" s="74">
        <f t="shared" si="64"/>
        <v>1.246321347031963</v>
      </c>
      <c r="Z58" s="70">
        <f>Z$48*s_Aeq_Feq!$C24</f>
        <v>3.0658987152220354E-4</v>
      </c>
      <c r="AA58" s="71">
        <f>IFERROR(Z58*s_EFw*1*s_ETw*(1/24)*s_IRAw,".")</f>
        <v>0.10539026833575746</v>
      </c>
      <c r="AB58" s="72">
        <f>IFERROR(Z58*s_EFw*(1/365)*1*s_ETw*(1/24)*s_GSFa,".")</f>
        <v>1.9249364079590405E-5</v>
      </c>
      <c r="AC58" s="71">
        <f>IFERROR(AA58*up_isospec!$D24,".")</f>
        <v>0.52695134167878732</v>
      </c>
      <c r="AD58" s="73">
        <f>IFERROR(AB58*up_isospec!$E24,".")</f>
        <v>9.6246820397952019E-5</v>
      </c>
      <c r="AE58" s="74">
        <f t="shared" si="61"/>
        <v>0.52704758849918532</v>
      </c>
      <c r="AF58" s="70">
        <f>AF$48*s_Aeq_Feq!$C24</f>
        <v>3.6249999999999997E-8</v>
      </c>
      <c r="AG58" s="71">
        <f>IFERROR(AF58*s_EFw*1*s_ETw*(1/24)*s_IRAw,".")</f>
        <v>1.2460937499999997E-5</v>
      </c>
      <c r="AH58" s="72">
        <f>IFERROR(AF58*s_EFw*(1/365)*1*s_ETw*(1/24)*s_GSFa,".")</f>
        <v>2.2759703196347031E-9</v>
      </c>
      <c r="AI58" s="71">
        <f>AG58*up_isospec!$D24</f>
        <v>6.2304687499999982E-5</v>
      </c>
      <c r="AJ58" s="73">
        <f>AH58*up_isospec!$E24</f>
        <v>1.1379851598173515E-8</v>
      </c>
      <c r="AK58" s="74">
        <f t="shared" si="62"/>
        <v>6.2316067351598153E-5</v>
      </c>
    </row>
    <row r="59" spans="1:37" x14ac:dyDescent="0.25">
      <c r="A59" s="23" t="str">
        <f>up_isospec!A25</f>
        <v>Rn-222~Tl-206</v>
      </c>
      <c r="B59" s="70">
        <f>B$48*s_Aeq_Feq!$B25</f>
        <v>0</v>
      </c>
      <c r="C59" s="71">
        <f t="shared" si="53"/>
        <v>0</v>
      </c>
      <c r="D59" s="72">
        <f t="shared" si="54"/>
        <v>0</v>
      </c>
      <c r="E59" s="71">
        <f>C59*up_isospec!$D25</f>
        <v>0</v>
      </c>
      <c r="F59" s="73">
        <f>D59*up_isospec!$E25</f>
        <v>0</v>
      </c>
      <c r="G59" s="74">
        <f t="shared" si="63"/>
        <v>0</v>
      </c>
      <c r="H59" s="70">
        <f>H$48*s_Aeq_Feq!$B25</f>
        <v>0</v>
      </c>
      <c r="I59" s="71">
        <f t="shared" si="55"/>
        <v>0</v>
      </c>
      <c r="J59" s="72">
        <f t="shared" si="56"/>
        <v>0</v>
      </c>
      <c r="K59" s="71">
        <f>IFERROR(I59*up_isospec!$D25,".")</f>
        <v>0</v>
      </c>
      <c r="L59" s="73">
        <f>IFERROR(J59*up_isospec!$E25,".")</f>
        <v>0</v>
      </c>
      <c r="M59" s="74">
        <f t="shared" si="57"/>
        <v>0</v>
      </c>
      <c r="N59" s="70">
        <f>N$48*s_Aeq_Feq!$B25</f>
        <v>0</v>
      </c>
      <c r="O59" s="71">
        <f t="shared" si="58"/>
        <v>0</v>
      </c>
      <c r="P59" s="72">
        <f t="shared" si="59"/>
        <v>0</v>
      </c>
      <c r="Q59" s="71">
        <f>O59*up_isospec!$D25</f>
        <v>0</v>
      </c>
      <c r="R59" s="73">
        <f>P59*up_isospec!$E25</f>
        <v>0</v>
      </c>
      <c r="S59" s="74">
        <f t="shared" si="60"/>
        <v>0</v>
      </c>
      <c r="T59" s="70">
        <f>T$48*s_Aeq_Feq!$C25</f>
        <v>0</v>
      </c>
      <c r="U59" s="71">
        <f>IFERROR(T59*s_EFw*1*s_ETw*(1/24)*s_IRAw,".")</f>
        <v>0</v>
      </c>
      <c r="V59" s="72">
        <f>IFERROR(T59*s_EFw*(1/365)*1*s_ETw*(1/24)*s_GSFa,".")</f>
        <v>0</v>
      </c>
      <c r="W59" s="71">
        <f>U59*up_isospec!$D25</f>
        <v>0</v>
      </c>
      <c r="X59" s="73">
        <f>V59*up_isospec!$E25</f>
        <v>0</v>
      </c>
      <c r="Y59" s="74">
        <f t="shared" si="64"/>
        <v>0</v>
      </c>
      <c r="Z59" s="70">
        <f>Z$48*s_Aeq_Feq!$C25</f>
        <v>0</v>
      </c>
      <c r="AA59" s="71">
        <f>IFERROR(Z59*s_EFw*1*s_ETw*(1/24)*s_IRAw,".")</f>
        <v>0</v>
      </c>
      <c r="AB59" s="72">
        <f>IFERROR(Z59*s_EFw*(1/365)*1*s_ETw*(1/24)*s_GSFa,".")</f>
        <v>0</v>
      </c>
      <c r="AC59" s="71">
        <f>IFERROR(AA59*up_isospec!$D25,".")</f>
        <v>0</v>
      </c>
      <c r="AD59" s="73">
        <f>IFERROR(AB59*up_isospec!$E25,".")</f>
        <v>0</v>
      </c>
      <c r="AE59" s="74">
        <f t="shared" si="61"/>
        <v>0</v>
      </c>
      <c r="AF59" s="70">
        <f>AF$48*s_Aeq_Feq!$C25</f>
        <v>0</v>
      </c>
      <c r="AG59" s="71">
        <f>IFERROR(AF59*s_EFw*1*s_ETw*(1/24)*s_IRAw,".")</f>
        <v>0</v>
      </c>
      <c r="AH59" s="72">
        <f>IFERROR(AF59*s_EFw*(1/365)*1*s_ETw*(1/24)*s_GSFa,".")</f>
        <v>0</v>
      </c>
      <c r="AI59" s="71">
        <f>AG59*up_isospec!$D25</f>
        <v>0</v>
      </c>
      <c r="AJ59" s="73">
        <f>AH59*up_isospec!$E25</f>
        <v>0</v>
      </c>
      <c r="AK59" s="74">
        <f t="shared" si="62"/>
        <v>0</v>
      </c>
    </row>
    <row r="60" spans="1:37" ht="15.75" thickBot="1" x14ac:dyDescent="0.3">
      <c r="A60" s="23" t="str">
        <f>up_isospec!A26</f>
        <v>Rn-222~Tl-210</v>
      </c>
      <c r="B60" s="79">
        <f>B$48*s_Aeq_Feq!$B26</f>
        <v>4.6199999999999998E-2</v>
      </c>
      <c r="C60" s="80">
        <f t="shared" si="53"/>
        <v>4.6320312499999989</v>
      </c>
      <c r="D60" s="81">
        <f t="shared" si="54"/>
        <v>2.9006849315068488E-3</v>
      </c>
      <c r="E60" s="80">
        <f>C60*up_isospec!$D26</f>
        <v>23.160156249999993</v>
      </c>
      <c r="F60" s="82">
        <f>D60*up_isospec!$E26</f>
        <v>1.4503424657534243E-2</v>
      </c>
      <c r="G60" s="83">
        <f t="shared" si="63"/>
        <v>23.174659674657526</v>
      </c>
      <c r="H60" s="79">
        <f>H$48*s_Aeq_Feq!$B26</f>
        <v>1.9537175261139038E-2</v>
      </c>
      <c r="I60" s="80">
        <f t="shared" si="55"/>
        <v>1.958805332171492</v>
      </c>
      <c r="J60" s="81">
        <f t="shared" si="56"/>
        <v>1.2266491316925193E-3</v>
      </c>
      <c r="K60" s="80">
        <f>IFERROR(I60*up_isospec!$D26,".")</f>
        <v>9.79402666085746</v>
      </c>
      <c r="L60" s="82">
        <f>IFERROR(J60*up_isospec!$E26,".")</f>
        <v>6.1332456584625968E-3</v>
      </c>
      <c r="M60" s="83">
        <f t="shared" si="57"/>
        <v>9.8001599065159226</v>
      </c>
      <c r="N60" s="79">
        <f>N$48*s_Aeq_Feq!$B26</f>
        <v>2.3099999999999999E-6</v>
      </c>
      <c r="O60" s="80">
        <f t="shared" si="58"/>
        <v>2.3160156249999996E-4</v>
      </c>
      <c r="P60" s="81">
        <f t="shared" si="59"/>
        <v>1.4503424657534244E-7</v>
      </c>
      <c r="Q60" s="80">
        <f>O60*up_isospec!$D26</f>
        <v>1.1580078124999997E-3</v>
      </c>
      <c r="R60" s="82">
        <f>P60*up_isospec!$E26</f>
        <v>7.2517123287671224E-7</v>
      </c>
      <c r="S60" s="83">
        <f t="shared" si="60"/>
        <v>1.1587329837328764E-3</v>
      </c>
      <c r="T60" s="79">
        <f>T$48*s_Aeq_Feq!$C26</f>
        <v>4.6199999999999998E-2</v>
      </c>
      <c r="U60" s="80">
        <f>IFERROR(T60*s_EFw*1*s_ETw*(1/24)*s_IRAw,".")</f>
        <v>15.881249999999998</v>
      </c>
      <c r="V60" s="81">
        <f>IFERROR(T60*s_EFw*(1/365)*1*s_ETw*(1/24)*s_GSFa,".")</f>
        <v>2.9006849315068488E-3</v>
      </c>
      <c r="W60" s="80">
        <f>U60*up_isospec!$D26</f>
        <v>79.406249999999986</v>
      </c>
      <c r="X60" s="82">
        <f>V60*up_isospec!$E26</f>
        <v>1.4503424657534243E-2</v>
      </c>
      <c r="Y60" s="83">
        <f t="shared" si="64"/>
        <v>79.420753424657519</v>
      </c>
      <c r="Z60" s="79">
        <f>Z$48*s_Aeq_Feq!$C26</f>
        <v>1.9537175261139038E-2</v>
      </c>
      <c r="AA60" s="80">
        <f>IFERROR(Z60*s_EFw*1*s_ETw*(1/24)*s_IRAw,".")</f>
        <v>6.715903996016543</v>
      </c>
      <c r="AB60" s="81">
        <f>IFERROR(Z60*s_EFw*(1/365)*1*s_ETw*(1/24)*s_GSFa,".")</f>
        <v>1.2266491316925193E-3</v>
      </c>
      <c r="AC60" s="80">
        <f>IFERROR(AA60*up_isospec!$D26,".")</f>
        <v>33.579519980082715</v>
      </c>
      <c r="AD60" s="82">
        <f>IFERROR(AB60*up_isospec!$E26,".")</f>
        <v>6.1332456584625968E-3</v>
      </c>
      <c r="AE60" s="83">
        <f t="shared" si="61"/>
        <v>33.585653225741176</v>
      </c>
      <c r="AF60" s="79">
        <f>AF$48*s_Aeq_Feq!$C26</f>
        <v>2.3099999999999999E-6</v>
      </c>
      <c r="AG60" s="80">
        <f>IFERROR(AF60*s_EFw*1*s_ETw*(1/24)*s_IRAw,".")</f>
        <v>7.9406249999999985E-4</v>
      </c>
      <c r="AH60" s="81">
        <f>IFERROR(AF60*s_EFw*(1/365)*1*s_ETw*(1/24)*s_GSFa,".")</f>
        <v>1.4503424657534244E-7</v>
      </c>
      <c r="AI60" s="80">
        <f>AG60*up_isospec!$D26</f>
        <v>3.970312499999999E-3</v>
      </c>
      <c r="AJ60" s="82">
        <f>AH60*up_isospec!$E26</f>
        <v>7.2517123287671224E-7</v>
      </c>
      <c r="AK60" s="83">
        <f t="shared" si="62"/>
        <v>3.9710376712328759E-3</v>
      </c>
    </row>
    <row r="61" spans="1:37" x14ac:dyDescent="0.25">
      <c r="B61" s="44"/>
      <c r="C61" s="56"/>
      <c r="D61" s="56"/>
      <c r="E61" s="56"/>
    </row>
    <row r="62" spans="1:37" x14ac:dyDescent="0.25">
      <c r="B62" s="44"/>
      <c r="C62" s="56"/>
      <c r="D62" s="56"/>
      <c r="E62" s="56"/>
    </row>
    <row r="63" spans="1:37" x14ac:dyDescent="0.25">
      <c r="B63" s="44"/>
      <c r="C63" s="56"/>
      <c r="D63" s="56"/>
      <c r="E63" s="56"/>
    </row>
  </sheetData>
  <sheetProtection algorithmName="SHA-512" hashValue="VQja6vtgIWaRznBOmbFLg96NOtmE8kYjCAQySLNjkF1CD4ij4lD43oIQs3a7PFL6Liw5RIb59K0POt2Cx5AcPw==" saltValue="cFgH32pj1TTQWuIWjdOUFw==" spinCount="100000" sheet="1" objects="1" scenarios="1"/>
  <mergeCells count="24">
    <mergeCell ref="K31:M31"/>
    <mergeCell ref="B30:G30"/>
    <mergeCell ref="H30:M30"/>
    <mergeCell ref="N30:S30"/>
    <mergeCell ref="T30:Y30"/>
    <mergeCell ref="B31:B32"/>
    <mergeCell ref="C31:D31"/>
    <mergeCell ref="E31:G31"/>
    <mergeCell ref="H31:H32"/>
    <mergeCell ref="I31:J31"/>
    <mergeCell ref="N31:N32"/>
    <mergeCell ref="O31:P31"/>
    <mergeCell ref="Q31:S31"/>
    <mergeCell ref="AC31:AE31"/>
    <mergeCell ref="AF31:AF32"/>
    <mergeCell ref="AG31:AH31"/>
    <mergeCell ref="Z30:AE30"/>
    <mergeCell ref="AF30:AK30"/>
    <mergeCell ref="AI31:AK31"/>
    <mergeCell ref="T31:T32"/>
    <mergeCell ref="U31:V31"/>
    <mergeCell ref="W31:Y31"/>
    <mergeCell ref="Z31:Z32"/>
    <mergeCell ref="AA31:AB3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AA842-1655-452D-A828-2A7F765880BD}">
  <dimension ref="A1:K32"/>
  <sheetViews>
    <sheetView workbookViewId="0"/>
  </sheetViews>
  <sheetFormatPr defaultColWidth="9" defaultRowHeight="15" x14ac:dyDescent="0.25"/>
  <cols>
    <col min="1" max="1" width="17.7109375" style="40" bestFit="1" customWidth="1"/>
    <col min="2" max="2" width="10.85546875" style="40" bestFit="1" customWidth="1"/>
    <col min="3" max="3" width="9" style="40" bestFit="1"/>
    <col min="4" max="4" width="9.140625" style="40" bestFit="1" customWidth="1"/>
    <col min="5" max="5" width="11.140625" style="40" bestFit="1" customWidth="1"/>
    <col min="6" max="6" width="9.28515625" style="40" bestFit="1" customWidth="1"/>
    <col min="7" max="7" width="11.85546875" style="40" bestFit="1" customWidth="1"/>
    <col min="8" max="8" width="10" style="40" bestFit="1" customWidth="1"/>
    <col min="9" max="9" width="8.85546875" style="40" bestFit="1" customWidth="1"/>
    <col min="10" max="10" width="12.140625" style="40" bestFit="1" customWidth="1"/>
    <col min="11" max="11" width="10.28515625" style="40" bestFit="1" customWidth="1"/>
    <col min="12" max="12" width="9.140625" style="40" bestFit="1" customWidth="1"/>
    <col min="13" max="13" width="11.140625" style="40" bestFit="1" customWidth="1"/>
    <col min="14" max="14" width="11.42578125" style="40" bestFit="1" customWidth="1"/>
    <col min="15" max="15" width="10.85546875" style="40" bestFit="1" customWidth="1"/>
    <col min="16" max="16" width="9.140625" style="40" bestFit="1" customWidth="1"/>
    <col min="17" max="18" width="8.85546875" style="40" bestFit="1" customWidth="1"/>
    <col min="19" max="21" width="8.5703125" style="40" bestFit="1" customWidth="1"/>
    <col min="22" max="24" width="8.85546875" style="40" bestFit="1" customWidth="1"/>
    <col min="25" max="16384" width="9" style="40"/>
  </cols>
  <sheetData>
    <row r="1" spans="1:11" x14ac:dyDescent="0.25">
      <c r="A1" s="57" t="s">
        <v>158</v>
      </c>
      <c r="B1" s="58" t="s">
        <v>136</v>
      </c>
      <c r="C1" s="58" t="s">
        <v>137</v>
      </c>
      <c r="D1" s="58" t="s">
        <v>149</v>
      </c>
      <c r="E1" s="58" t="s">
        <v>150</v>
      </c>
      <c r="F1" s="58" t="s">
        <v>25</v>
      </c>
      <c r="G1" s="61" t="s">
        <v>188</v>
      </c>
      <c r="H1" s="61" t="s">
        <v>189</v>
      </c>
      <c r="I1" s="61" t="s">
        <v>147</v>
      </c>
      <c r="J1" s="61" t="s">
        <v>148</v>
      </c>
      <c r="K1" s="61" t="s">
        <v>139</v>
      </c>
    </row>
    <row r="2" spans="1:11" x14ac:dyDescent="0.25">
      <c r="A2" s="57" t="str">
        <f>isospec!A2</f>
        <v>Rn-219</v>
      </c>
      <c r="B2" s="59">
        <f>1/(1/B3)</f>
        <v>3781.0679059140066</v>
      </c>
      <c r="C2" s="59">
        <f>1/(1/C3)</f>
        <v>3.7810679059140062</v>
      </c>
      <c r="D2" s="59">
        <f>B2/AFss</f>
        <v>126035.59686380022</v>
      </c>
      <c r="E2" s="59">
        <f>(B2/AFss)/1000</f>
        <v>126.03559686380022</v>
      </c>
      <c r="F2" s="59">
        <f>IFERROR(B2/(AFgw*1000*isospec!M2),0)</f>
        <v>872.61366749023409</v>
      </c>
      <c r="G2" s="59">
        <f>1/(1/G3)</f>
        <v>5079.0408249586299</v>
      </c>
      <c r="H2" s="59">
        <f>1/(1/H3)</f>
        <v>5.0790408249586294</v>
      </c>
      <c r="I2" s="59">
        <f>G2/AFss</f>
        <v>169301.36083195434</v>
      </c>
      <c r="J2" s="59">
        <f>(G2/AFss)/1000</f>
        <v>169.30136083195436</v>
      </c>
      <c r="K2" s="59">
        <f>IFERROR(G2/(AFgw*1000*isospec!M2),0)</f>
        <v>1172.1663169993788</v>
      </c>
    </row>
    <row r="3" spans="1:11" x14ac:dyDescent="0.25">
      <c r="A3" s="57" t="str">
        <f>isospec!A2</f>
        <v>Rn-219</v>
      </c>
      <c r="B3" s="60">
        <f>C3*1000</f>
        <v>3781.0679059140066</v>
      </c>
      <c r="C3" s="60">
        <f>IFERROR(WL/((Aeq_Feq!D2*1)/162),0)</f>
        <v>3.7810679059140067</v>
      </c>
      <c r="D3" s="60"/>
      <c r="E3" s="60"/>
      <c r="F3" s="60"/>
      <c r="G3" s="60">
        <f>H3*1000</f>
        <v>5079.0408249586299</v>
      </c>
      <c r="H3" s="60">
        <f>IFERROR(WL/((Aeq_Feq!F2*1)/162),0)</f>
        <v>5.0790408249586294</v>
      </c>
      <c r="I3" s="60"/>
      <c r="J3" s="60"/>
      <c r="K3" s="60"/>
    </row>
    <row r="4" spans="1:11" x14ac:dyDescent="0.25">
      <c r="A4" s="57" t="str">
        <f>isospec!A3</f>
        <v>Rn-219~Bi-211</v>
      </c>
      <c r="B4" s="60">
        <f t="shared" ref="B4:B8" si="0">C4*1000</f>
        <v>0</v>
      </c>
      <c r="C4" s="60">
        <f>IFERROR(WL/((Aeq_Feq!D3*1)/162),0)</f>
        <v>0</v>
      </c>
      <c r="D4" s="60"/>
      <c r="E4" s="60"/>
      <c r="F4" s="60"/>
      <c r="G4" s="60">
        <f t="shared" ref="G4:G8" si="1">H4*1000</f>
        <v>0</v>
      </c>
      <c r="H4" s="60">
        <f>IFERROR(WL/((Aeq_Feq!V3*1)/162),0)</f>
        <v>0</v>
      </c>
      <c r="I4" s="60"/>
      <c r="J4" s="60"/>
      <c r="K4" s="60"/>
    </row>
    <row r="5" spans="1:11" x14ac:dyDescent="0.25">
      <c r="A5" s="57" t="str">
        <f>isospec!A4</f>
        <v>Rn-219~Pb-211</v>
      </c>
      <c r="B5" s="60">
        <f t="shared" si="0"/>
        <v>0</v>
      </c>
      <c r="C5" s="60">
        <f>IFERROR(WL/((Aeq_Feq!D4*1)/162),0)</f>
        <v>0</v>
      </c>
      <c r="D5" s="60"/>
      <c r="E5" s="60"/>
      <c r="F5" s="60"/>
      <c r="G5" s="60">
        <f t="shared" si="1"/>
        <v>0</v>
      </c>
      <c r="H5" s="60">
        <f>IFERROR(WL/((Aeq_Feq!V4*1)/162),0)</f>
        <v>0</v>
      </c>
      <c r="I5" s="60"/>
      <c r="J5" s="60"/>
      <c r="K5" s="60"/>
    </row>
    <row r="6" spans="1:11" x14ac:dyDescent="0.25">
      <c r="A6" s="57" t="str">
        <f>isospec!A5</f>
        <v>Rn-219~Po-211</v>
      </c>
      <c r="B6" s="60">
        <f t="shared" si="0"/>
        <v>0</v>
      </c>
      <c r="C6" s="60">
        <f>IFERROR(WL/((Aeq_Feq!D5*1)/162),0)</f>
        <v>0</v>
      </c>
      <c r="D6" s="60"/>
      <c r="E6" s="60"/>
      <c r="F6" s="60"/>
      <c r="G6" s="60">
        <f t="shared" si="1"/>
        <v>0</v>
      </c>
      <c r="H6" s="60">
        <f>IFERROR(WL/((Aeq_Feq!V5*1)/162),0)</f>
        <v>0</v>
      </c>
      <c r="I6" s="60"/>
      <c r="J6" s="60"/>
      <c r="K6" s="60"/>
    </row>
    <row r="7" spans="1:11" x14ac:dyDescent="0.25">
      <c r="A7" s="57" t="str">
        <f>isospec!A6</f>
        <v>Rn-219~Po-215</v>
      </c>
      <c r="B7" s="60">
        <f t="shared" si="0"/>
        <v>0</v>
      </c>
      <c r="C7" s="60">
        <f>IFERROR(WL/((Aeq_Feq!D6*1)/162),0)</f>
        <v>0</v>
      </c>
      <c r="D7" s="60"/>
      <c r="E7" s="60"/>
      <c r="F7" s="60"/>
      <c r="G7" s="60">
        <f t="shared" si="1"/>
        <v>0</v>
      </c>
      <c r="H7" s="60">
        <f>IFERROR(WL/((Aeq_Feq!V6*1)/162),0)</f>
        <v>0</v>
      </c>
      <c r="I7" s="60"/>
      <c r="J7" s="60"/>
      <c r="K7" s="60"/>
    </row>
    <row r="8" spans="1:11" x14ac:dyDescent="0.25">
      <c r="A8" s="57" t="str">
        <f>isospec!A7</f>
        <v>Rn-219~Tl-207</v>
      </c>
      <c r="B8" s="60">
        <f t="shared" si="0"/>
        <v>0</v>
      </c>
      <c r="C8" s="60">
        <f>IFERROR(WL/((Aeq_Feq!D7*1)/162),0)</f>
        <v>0</v>
      </c>
      <c r="D8" s="60"/>
      <c r="E8" s="60"/>
      <c r="F8" s="60"/>
      <c r="G8" s="60">
        <f t="shared" si="1"/>
        <v>0</v>
      </c>
      <c r="H8" s="60">
        <f>IFERROR(WL/((Aeq_Feq!V7*1)/162),0)</f>
        <v>0</v>
      </c>
      <c r="I8" s="60"/>
      <c r="J8" s="60"/>
      <c r="K8" s="60"/>
    </row>
    <row r="9" spans="1:11" x14ac:dyDescent="0.25">
      <c r="A9" s="57" t="str">
        <f>isospec!A8</f>
        <v>Rn-220</v>
      </c>
      <c r="B9" s="59">
        <f>1/(1/B10)</f>
        <v>712.23015700430074</v>
      </c>
      <c r="C9" s="59">
        <f>1/(1/C10)</f>
        <v>0.7122301570043007</v>
      </c>
      <c r="D9" s="59">
        <f>B9/AFss</f>
        <v>23741.005233476692</v>
      </c>
      <c r="E9" s="59">
        <f>(B9/AFss)/1000</f>
        <v>23.741005233476692</v>
      </c>
      <c r="F9" s="59">
        <f>IFERROR(B9/(AFgw*1000*isospec!M8),0)</f>
        <v>164.37201998635649</v>
      </c>
      <c r="G9" s="59">
        <f>1/(1/G10)</f>
        <v>2869.5694044673573</v>
      </c>
      <c r="H9" s="59">
        <f>1/(1/H10)</f>
        <v>2.8695694044673572</v>
      </c>
      <c r="I9" s="59">
        <f>G9/AFss</f>
        <v>95652.313482245241</v>
      </c>
      <c r="J9" s="59">
        <f>(G9/AFss)/1000</f>
        <v>95.652313482245248</v>
      </c>
      <c r="K9" s="59">
        <f>IFERROR(G9/(AFgw*1000*isospec!M8),0)</f>
        <v>662.25350733147536</v>
      </c>
    </row>
    <row r="10" spans="1:11" x14ac:dyDescent="0.25">
      <c r="A10" s="57" t="str">
        <f>isospec!A8</f>
        <v>Rn-220</v>
      </c>
      <c r="B10" s="60">
        <f>C10*1000</f>
        <v>712.23015700430074</v>
      </c>
      <c r="C10" s="60">
        <f>IFERROR(WL/((Aeq_Feq!D8*1)/7.5),0)</f>
        <v>0.7122301570043007</v>
      </c>
      <c r="D10" s="60"/>
      <c r="E10" s="60"/>
      <c r="F10" s="60"/>
      <c r="G10" s="60">
        <f>H10*1000</f>
        <v>2869.5694044673573</v>
      </c>
      <c r="H10" s="60">
        <f>IFERROR(WL/((Aeq_Feq!F8*1)/7.5),0)</f>
        <v>2.8695694044673572</v>
      </c>
      <c r="I10" s="60"/>
      <c r="J10" s="60"/>
      <c r="K10" s="60"/>
    </row>
    <row r="11" spans="1:11" x14ac:dyDescent="0.25">
      <c r="A11" s="57" t="str">
        <f>isospec!A9</f>
        <v>Rn-220~Bi-212</v>
      </c>
      <c r="B11" s="60">
        <f t="shared" ref="B11:B15" si="2">C11*1000</f>
        <v>0</v>
      </c>
      <c r="C11" s="60">
        <f>IFERROR(WL/((Aeq_Feq!D9*1)/7.5),0)</f>
        <v>0</v>
      </c>
      <c r="D11" s="60"/>
      <c r="E11" s="60"/>
      <c r="F11" s="60"/>
      <c r="G11" s="60">
        <f t="shared" ref="G11:G15" si="3">H11*1000</f>
        <v>0</v>
      </c>
      <c r="H11" s="60">
        <f>IFERROR(WL/((Aeq_Feq!V9*1)/7.5),0)</f>
        <v>0</v>
      </c>
      <c r="I11" s="60"/>
      <c r="J11" s="60"/>
      <c r="K11" s="60"/>
    </row>
    <row r="12" spans="1:11" x14ac:dyDescent="0.25">
      <c r="A12" s="57" t="str">
        <f>isospec!A10</f>
        <v>Rn-220~Pb-212</v>
      </c>
      <c r="B12" s="60">
        <f t="shared" si="2"/>
        <v>0</v>
      </c>
      <c r="C12" s="60">
        <f>IFERROR(WL/((Aeq_Feq!D10*1)/7.5),0)</f>
        <v>0</v>
      </c>
      <c r="D12" s="60"/>
      <c r="E12" s="60"/>
      <c r="F12" s="60"/>
      <c r="G12" s="60">
        <f t="shared" si="3"/>
        <v>0</v>
      </c>
      <c r="H12" s="60">
        <f>IFERROR(WL/((Aeq_Feq!V10*1)/7.5),0)</f>
        <v>0</v>
      </c>
      <c r="I12" s="60"/>
      <c r="J12" s="60"/>
      <c r="K12" s="60"/>
    </row>
    <row r="13" spans="1:11" x14ac:dyDescent="0.25">
      <c r="A13" s="57" t="str">
        <f>isospec!A11</f>
        <v>Rn-220~Po-212</v>
      </c>
      <c r="B13" s="60">
        <f t="shared" si="2"/>
        <v>0</v>
      </c>
      <c r="C13" s="60">
        <f>IFERROR(WL/((Aeq_Feq!D11*1)/7.5),0)</f>
        <v>0</v>
      </c>
      <c r="D13" s="60"/>
      <c r="E13" s="60"/>
      <c r="F13" s="60"/>
      <c r="G13" s="60">
        <f t="shared" si="3"/>
        <v>0</v>
      </c>
      <c r="H13" s="60">
        <f>IFERROR(WL/((Aeq_Feq!V11*1)/7.5),0)</f>
        <v>0</v>
      </c>
      <c r="I13" s="60"/>
      <c r="J13" s="60"/>
      <c r="K13" s="60"/>
    </row>
    <row r="14" spans="1:11" x14ac:dyDescent="0.25">
      <c r="A14" s="57" t="str">
        <f>isospec!A12</f>
        <v>Rn-220~Po-216</v>
      </c>
      <c r="B14" s="60">
        <f t="shared" si="2"/>
        <v>0</v>
      </c>
      <c r="C14" s="60">
        <f>IFERROR(WL/((Aeq_Feq!D12*1)/7.5),0)</f>
        <v>0</v>
      </c>
      <c r="D14" s="60"/>
      <c r="E14" s="60"/>
      <c r="F14" s="60"/>
      <c r="G14" s="60">
        <f t="shared" si="3"/>
        <v>0</v>
      </c>
      <c r="H14" s="60">
        <f>IFERROR(WL/((Aeq_Feq!V12*1)/7.5),0)</f>
        <v>0</v>
      </c>
      <c r="I14" s="60"/>
      <c r="J14" s="60"/>
      <c r="K14" s="60"/>
    </row>
    <row r="15" spans="1:11" x14ac:dyDescent="0.25">
      <c r="A15" s="57" t="str">
        <f>isospec!A13</f>
        <v>Rn-220~Tl-208</v>
      </c>
      <c r="B15" s="60">
        <f t="shared" si="2"/>
        <v>0</v>
      </c>
      <c r="C15" s="60">
        <f>IFERROR(WL/((Aeq_Feq!D13*1)/7.5),0)</f>
        <v>0</v>
      </c>
      <c r="D15" s="60"/>
      <c r="E15" s="60"/>
      <c r="F15" s="60"/>
      <c r="G15" s="60">
        <f t="shared" si="3"/>
        <v>0</v>
      </c>
      <c r="H15" s="60">
        <f>IFERROR(WL/((Aeq_Feq!V13*1)/7.5),0)</f>
        <v>0</v>
      </c>
      <c r="I15" s="60"/>
      <c r="J15" s="60"/>
      <c r="K15" s="60"/>
    </row>
    <row r="16" spans="1:11" x14ac:dyDescent="0.25">
      <c r="A16" s="57" t="str">
        <f>isospec!A14</f>
        <v>Rn-222</v>
      </c>
      <c r="B16" s="59">
        <f>1/(1/B17)</f>
        <v>2247.4928470000345</v>
      </c>
      <c r="C16" s="59">
        <f>1/(1/C17)</f>
        <v>2.2474928470000344</v>
      </c>
      <c r="D16" s="59">
        <f>B16/AFss</f>
        <v>74916.428233334489</v>
      </c>
      <c r="E16" s="59">
        <f>(B16/AFss)/1000</f>
        <v>74.916428233334486</v>
      </c>
      <c r="F16" s="59">
        <f>IFERROR(B16/(AFgw*1000*isospec!M14),0)</f>
        <v>518.68758368799615</v>
      </c>
      <c r="G16" s="59">
        <f>1/(1/G17)</f>
        <v>2774.3247530062367</v>
      </c>
      <c r="H16" s="59">
        <f>1/(1/H17)</f>
        <v>2.7743247530062369</v>
      </c>
      <c r="I16" s="59">
        <f>G16/AFss</f>
        <v>92477.491766874562</v>
      </c>
      <c r="J16" s="59">
        <f>(G16/AFss)/1000</f>
        <v>92.477491766874564</v>
      </c>
      <c r="K16" s="59">
        <f>IFERROR(G16/(AFgw*1000*isospec!M14),0)</f>
        <v>640.27247269035672</v>
      </c>
    </row>
    <row r="17" spans="1:11" x14ac:dyDescent="0.25">
      <c r="A17" s="23" t="s">
        <v>1</v>
      </c>
      <c r="B17" s="60">
        <f>C17*1000</f>
        <v>2247.4928470000345</v>
      </c>
      <c r="C17" s="60">
        <f>IFERROR(WL/((Aeq_Feq!D14*1)/100),0)</f>
        <v>2.2474928470000344</v>
      </c>
      <c r="D17" s="60"/>
      <c r="E17" s="60"/>
      <c r="F17" s="60"/>
      <c r="G17" s="60">
        <f>H17*1000</f>
        <v>2774.3247530062367</v>
      </c>
      <c r="H17" s="60">
        <f>IFERROR(WL/((Aeq_Feq!F14*1)/100),0)</f>
        <v>2.7743247530062369</v>
      </c>
      <c r="I17" s="60"/>
      <c r="J17" s="60"/>
      <c r="K17" s="60"/>
    </row>
    <row r="18" spans="1:11" x14ac:dyDescent="0.25">
      <c r="A18" s="23" t="s">
        <v>108</v>
      </c>
      <c r="B18" s="60">
        <f t="shared" ref="B18" si="4">C18*1000</f>
        <v>0</v>
      </c>
      <c r="C18" s="60">
        <f>IFERROR(WL/((Aeq_Feq!D15*1)/100),0)</f>
        <v>0</v>
      </c>
      <c r="D18" s="60"/>
      <c r="E18" s="60"/>
      <c r="F18" s="60"/>
      <c r="G18" s="60">
        <f t="shared" ref="G18" si="5">H18*1000</f>
        <v>0</v>
      </c>
      <c r="H18" s="60">
        <f>IFERROR(WL/((Aeq_Feq!V15*1)/100),0)</f>
        <v>0</v>
      </c>
      <c r="I18" s="60"/>
      <c r="J18" s="60"/>
      <c r="K18" s="60"/>
    </row>
    <row r="19" spans="1:11" x14ac:dyDescent="0.25">
      <c r="A19" s="23" t="s">
        <v>173</v>
      </c>
      <c r="B19" s="60">
        <f t="shared" ref="B19:B29" si="6">C19*1000</f>
        <v>0</v>
      </c>
      <c r="C19" s="60">
        <f>IFERROR(WL/((Aeq_Feq!D16*1)/100),0)</f>
        <v>0</v>
      </c>
      <c r="D19" s="60"/>
      <c r="E19" s="60"/>
      <c r="F19" s="60"/>
      <c r="G19" s="60">
        <f t="shared" ref="G19:G29" si="7">H19*1000</f>
        <v>0</v>
      </c>
      <c r="H19" s="60">
        <f>IFERROR(WL/((Aeq_Feq!V16*1)/100),0)</f>
        <v>0</v>
      </c>
      <c r="I19" s="60"/>
      <c r="J19" s="60"/>
      <c r="K19" s="60"/>
    </row>
    <row r="20" spans="1:11" x14ac:dyDescent="0.25">
      <c r="A20" s="23" t="s">
        <v>109</v>
      </c>
      <c r="B20" s="60">
        <f t="shared" si="6"/>
        <v>0</v>
      </c>
      <c r="C20" s="60">
        <f>IFERROR(WL/((Aeq_Feq!D17*1)/100),0)</f>
        <v>0</v>
      </c>
      <c r="D20" s="60"/>
      <c r="E20" s="60"/>
      <c r="F20" s="60"/>
      <c r="G20" s="60">
        <f t="shared" si="7"/>
        <v>0</v>
      </c>
      <c r="H20" s="60">
        <f>IFERROR(WL/((Aeq_Feq!V17*1)/100),0)</f>
        <v>0</v>
      </c>
      <c r="I20" s="60"/>
      <c r="J20" s="60"/>
      <c r="K20" s="60"/>
    </row>
    <row r="21" spans="1:11" x14ac:dyDescent="0.25">
      <c r="A21" s="23" t="s">
        <v>174</v>
      </c>
      <c r="B21" s="60">
        <f t="shared" si="6"/>
        <v>0</v>
      </c>
      <c r="C21" s="60">
        <f>IFERROR(WL/((Aeq_Feq!D18*1)/100),0)</f>
        <v>0</v>
      </c>
      <c r="D21" s="60"/>
      <c r="E21" s="60"/>
      <c r="F21" s="60"/>
      <c r="G21" s="60">
        <f t="shared" si="7"/>
        <v>0</v>
      </c>
      <c r="H21" s="60">
        <f>IFERROR(WL/((Aeq_Feq!V18*1)/100),0)</f>
        <v>0</v>
      </c>
      <c r="I21" s="60"/>
      <c r="J21" s="60"/>
      <c r="K21" s="60"/>
    </row>
    <row r="22" spans="1:11" x14ac:dyDescent="0.25">
      <c r="A22" s="23" t="s">
        <v>175</v>
      </c>
      <c r="B22" s="60">
        <f t="shared" si="6"/>
        <v>0</v>
      </c>
      <c r="C22" s="60">
        <f>IFERROR(WL/((Aeq_Feq!D19*1)/100),0)</f>
        <v>0</v>
      </c>
      <c r="D22" s="60"/>
      <c r="E22" s="60"/>
      <c r="F22" s="60"/>
      <c r="G22" s="60">
        <f t="shared" si="7"/>
        <v>0</v>
      </c>
      <c r="H22" s="60">
        <f>IFERROR(WL/((Aeq_Feq!V19*1)/100),0)</f>
        <v>0</v>
      </c>
      <c r="I22" s="60"/>
      <c r="J22" s="60"/>
      <c r="K22" s="60"/>
    </row>
    <row r="23" spans="1:11" x14ac:dyDescent="0.25">
      <c r="A23" s="23" t="s">
        <v>107</v>
      </c>
      <c r="B23" s="60">
        <f t="shared" si="6"/>
        <v>0</v>
      </c>
      <c r="C23" s="60">
        <f>IFERROR(WL/((Aeq_Feq!D20*1)/100),0)</f>
        <v>0</v>
      </c>
      <c r="D23" s="60"/>
      <c r="E23" s="60"/>
      <c r="F23" s="60"/>
      <c r="G23" s="60">
        <f t="shared" si="7"/>
        <v>0</v>
      </c>
      <c r="H23" s="60">
        <f>IFERROR(WL/((Aeq_Feq!V20*1)/100),0)</f>
        <v>0</v>
      </c>
      <c r="I23" s="60"/>
      <c r="J23" s="60"/>
      <c r="K23" s="60"/>
    </row>
    <row r="24" spans="1:11" x14ac:dyDescent="0.25">
      <c r="A24" s="23" t="s">
        <v>176</v>
      </c>
      <c r="B24" s="60">
        <f t="shared" si="6"/>
        <v>0</v>
      </c>
      <c r="C24" s="60">
        <f>IFERROR(WL/((Aeq_Feq!D21*1)/100),0)</f>
        <v>0</v>
      </c>
      <c r="D24" s="60"/>
      <c r="E24" s="60"/>
      <c r="F24" s="60"/>
      <c r="G24" s="60">
        <f t="shared" si="7"/>
        <v>0</v>
      </c>
      <c r="H24" s="60">
        <f>IFERROR(WL/((Aeq_Feq!V21*1)/100),0)</f>
        <v>0</v>
      </c>
      <c r="I24" s="60"/>
      <c r="J24" s="60"/>
      <c r="K24" s="60"/>
    </row>
    <row r="25" spans="1:11" x14ac:dyDescent="0.25">
      <c r="A25" s="23" t="s">
        <v>111</v>
      </c>
      <c r="B25" s="60">
        <f t="shared" si="6"/>
        <v>0</v>
      </c>
      <c r="C25" s="60">
        <f>IFERROR(WL/((Aeq_Feq!D22*1)/100),0)</f>
        <v>0</v>
      </c>
      <c r="G25" s="60">
        <f t="shared" si="7"/>
        <v>0</v>
      </c>
      <c r="H25" s="60">
        <f>IFERROR(WL/((Aeq_Feq!V22*1)/100),0)</f>
        <v>0</v>
      </c>
    </row>
    <row r="26" spans="1:11" x14ac:dyDescent="0.25">
      <c r="A26" s="23" t="s">
        <v>106</v>
      </c>
      <c r="B26" s="60">
        <f t="shared" si="6"/>
        <v>0</v>
      </c>
      <c r="C26" s="60">
        <f>IFERROR(WL/((Aeq_Feq!D23*1)/100),0)</f>
        <v>0</v>
      </c>
      <c r="D26" s="56"/>
      <c r="E26" s="56"/>
      <c r="G26" s="60">
        <f t="shared" si="7"/>
        <v>0</v>
      </c>
      <c r="H26" s="60">
        <f>IFERROR(WL/((Aeq_Feq!V23*1)/100),0)</f>
        <v>0</v>
      </c>
    </row>
    <row r="27" spans="1:11" x14ac:dyDescent="0.25">
      <c r="A27" s="23" t="s">
        <v>110</v>
      </c>
      <c r="B27" s="60">
        <f t="shared" si="6"/>
        <v>0</v>
      </c>
      <c r="C27" s="60">
        <f>IFERROR(WL/((Aeq_Feq!D24*1)/100),0)</f>
        <v>0</v>
      </c>
      <c r="D27" s="56"/>
      <c r="E27" s="56"/>
      <c r="G27" s="60">
        <f t="shared" si="7"/>
        <v>0</v>
      </c>
      <c r="H27" s="60">
        <f>IFERROR(WL/((Aeq_Feq!V24*1)/100),0)</f>
        <v>0</v>
      </c>
    </row>
    <row r="28" spans="1:11" x14ac:dyDescent="0.25">
      <c r="A28" s="23" t="s">
        <v>177</v>
      </c>
      <c r="B28" s="60">
        <f t="shared" si="6"/>
        <v>0</v>
      </c>
      <c r="C28" s="60">
        <f>IFERROR(WL/((Aeq_Feq!D25*1)/100),0)</f>
        <v>0</v>
      </c>
      <c r="G28" s="60">
        <f t="shared" si="7"/>
        <v>0</v>
      </c>
      <c r="H28" s="60">
        <f>IFERROR(WL/((Aeq_Feq!V25*1)/100),0)</f>
        <v>0</v>
      </c>
    </row>
    <row r="29" spans="1:11" x14ac:dyDescent="0.25">
      <c r="A29" s="23" t="s">
        <v>112</v>
      </c>
      <c r="B29" s="60">
        <f t="shared" si="6"/>
        <v>0</v>
      </c>
      <c r="C29" s="60">
        <f>IFERROR(WL/((Aeq_Feq!D26*1)/100),0)</f>
        <v>0</v>
      </c>
      <c r="D29" s="56"/>
      <c r="E29" s="56"/>
      <c r="G29" s="60">
        <f t="shared" si="7"/>
        <v>0</v>
      </c>
      <c r="H29" s="60">
        <f>IFERROR(WL/((Aeq_Feq!V26*1)/100),0)</f>
        <v>0</v>
      </c>
    </row>
    <row r="30" spans="1:11" x14ac:dyDescent="0.25">
      <c r="D30" s="56"/>
      <c r="E30" s="56"/>
    </row>
    <row r="31" spans="1:11" x14ac:dyDescent="0.25">
      <c r="D31" s="56"/>
      <c r="E31" s="56"/>
    </row>
    <row r="32" spans="1:11" x14ac:dyDescent="0.25">
      <c r="D32" s="56"/>
      <c r="E32" s="56"/>
    </row>
  </sheetData>
  <sheetProtection algorithmName="SHA-512" hashValue="4175yfwmmivzK49idzivESuRDbsYwsD1G5ick/iM+K72Ts86cfOTK+wMTgOZ9L2dDC1+VZYxOgA7HIJ8LIkTJw==" saltValue="5VUG/7b8AcjZqac7fj1MI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E56EE-9538-40E8-99DA-D452E946CC6D}">
  <dimension ref="A1:O63"/>
  <sheetViews>
    <sheetView workbookViewId="0"/>
  </sheetViews>
  <sheetFormatPr defaultColWidth="9" defaultRowHeight="15" x14ac:dyDescent="0.25"/>
  <cols>
    <col min="1" max="1" width="17.7109375" style="40" bestFit="1" customWidth="1"/>
    <col min="2" max="2" width="10.85546875" style="40" bestFit="1" customWidth="1"/>
    <col min="3" max="3" width="9.7109375" style="40" bestFit="1" customWidth="1"/>
    <col min="4" max="4" width="11.7109375" style="40" bestFit="1" customWidth="1"/>
    <col min="5" max="5" width="9.28515625" style="40" bestFit="1" customWidth="1"/>
    <col min="6" max="6" width="9.7109375" style="40" bestFit="1" customWidth="1"/>
    <col min="7" max="7" width="8.28515625" style="40" bestFit="1" customWidth="1"/>
    <col min="8" max="8" width="11.7109375" style="40" bestFit="1" customWidth="1"/>
    <col min="9" max="9" width="11.85546875" style="40" bestFit="1" customWidth="1"/>
    <col min="10" max="10" width="10" style="40" bestFit="1" customWidth="1"/>
    <col min="11" max="11" width="12.140625" style="40" bestFit="1" customWidth="1"/>
    <col min="12" max="12" width="10.28515625" style="40" bestFit="1" customWidth="1"/>
    <col min="13" max="13" width="9.7109375" style="40" bestFit="1" customWidth="1"/>
    <col min="14" max="14" width="8.28515625" style="40" bestFit="1" customWidth="1"/>
    <col min="15" max="15" width="11.7109375" style="40" bestFit="1" customWidth="1"/>
    <col min="16" max="16" width="8.5703125" style="40" bestFit="1" customWidth="1"/>
    <col min="17" max="19" width="8.85546875" style="40" bestFit="1" customWidth="1"/>
    <col min="20" max="20" width="15.42578125" style="40" bestFit="1" customWidth="1"/>
    <col min="21" max="21" width="13.5703125" style="40" bestFit="1" customWidth="1"/>
    <col min="22" max="22" width="9.140625" style="40" bestFit="1" customWidth="1"/>
    <col min="23" max="23" width="12.28515625" style="40" bestFit="1" customWidth="1"/>
    <col min="24" max="24" width="10.425781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29" width="9.140625" style="40" bestFit="1" customWidth="1"/>
    <col min="30" max="31" width="8.85546875" style="40" bestFit="1" customWidth="1"/>
    <col min="32" max="34" width="8.5703125" style="40" bestFit="1" customWidth="1"/>
    <col min="35" max="37" width="8.85546875" style="40" bestFit="1" customWidth="1"/>
    <col min="38" max="16384" width="9" style="40"/>
  </cols>
  <sheetData>
    <row r="1" spans="1:13" x14ac:dyDescent="0.25">
      <c r="A1" s="57" t="s">
        <v>158</v>
      </c>
      <c r="B1" s="58" t="s">
        <v>136</v>
      </c>
      <c r="C1" s="58" t="s">
        <v>137</v>
      </c>
      <c r="D1" s="58" t="s">
        <v>149</v>
      </c>
      <c r="E1" s="58" t="s">
        <v>150</v>
      </c>
      <c r="F1" s="58" t="s">
        <v>25</v>
      </c>
      <c r="I1" s="61" t="s">
        <v>188</v>
      </c>
      <c r="J1" s="61" t="s">
        <v>189</v>
      </c>
      <c r="K1" s="61" t="s">
        <v>147</v>
      </c>
      <c r="L1" s="61" t="s">
        <v>148</v>
      </c>
      <c r="M1" s="61" t="s">
        <v>139</v>
      </c>
    </row>
    <row r="2" spans="1:13" x14ac:dyDescent="0.25">
      <c r="A2" s="57" t="str">
        <f>isospec!A2</f>
        <v>Rn-219</v>
      </c>
      <c r="B2" s="59">
        <f>1/(1/B3)</f>
        <v>54405.928800787937</v>
      </c>
      <c r="C2" s="59">
        <f>1/(1/C3)</f>
        <v>54.405928800787954</v>
      </c>
      <c r="D2" s="59">
        <f>B2/s_AFss</f>
        <v>1088118.5760157586</v>
      </c>
      <c r="E2" s="59">
        <f>(B2/s_AFss)/1000</f>
        <v>1088.1185760157587</v>
      </c>
      <c r="F2" s="59">
        <f>IFERROR(B2/(s_AFgw*1000*s_isospec!M2),0)</f>
        <v>7489.6844663916936</v>
      </c>
      <c r="I2" s="59">
        <f>1/(1/I3)</f>
        <v>54405.928800787937</v>
      </c>
      <c r="J2" s="59">
        <f>1/(1/J3)</f>
        <v>54.405928800787954</v>
      </c>
      <c r="K2" s="59">
        <f>I2/s_AFss</f>
        <v>1088118.5760157586</v>
      </c>
      <c r="L2" s="59">
        <f>(I2/s_AFss)/1000</f>
        <v>1088.1185760157587</v>
      </c>
      <c r="M2" s="59">
        <f>IFERROR(I2/(s_AFgw*1000*s_isospec!M2),0)</f>
        <v>7489.6844663916936</v>
      </c>
    </row>
    <row r="3" spans="1:13" x14ac:dyDescent="0.25">
      <c r="A3" s="57" t="str">
        <f>isospec!A2</f>
        <v>Rn-219</v>
      </c>
      <c r="B3" s="60">
        <f>C3*1000</f>
        <v>54405.928800787944</v>
      </c>
      <c r="C3" s="60">
        <f>IFERROR(s_WL/((s_Aeq_Feq!D2*1)/162),0)</f>
        <v>54.405928800787947</v>
      </c>
      <c r="D3" s="60"/>
      <c r="E3" s="60"/>
      <c r="F3" s="60"/>
      <c r="I3" s="60">
        <f>J3*1000</f>
        <v>54405.928800787944</v>
      </c>
      <c r="J3" s="60">
        <f>IFERROR(s_WL/((s_Aeq_Feq!F2*1)/162),0)</f>
        <v>54.405928800787947</v>
      </c>
      <c r="K3" s="60"/>
      <c r="L3" s="60"/>
      <c r="M3" s="60"/>
    </row>
    <row r="4" spans="1:13" x14ac:dyDescent="0.25">
      <c r="A4" s="57" t="str">
        <f>isospec!A3</f>
        <v>Rn-219~Bi-211</v>
      </c>
      <c r="B4" s="60">
        <f t="shared" ref="B4:B8" si="0">C4*1000</f>
        <v>0</v>
      </c>
      <c r="C4" s="60">
        <f>IFERROR(s_WL/((s_Aeq_Feq!D3*1)/162),0)</f>
        <v>0</v>
      </c>
      <c r="D4" s="60"/>
      <c r="E4" s="60"/>
      <c r="F4" s="60"/>
      <c r="I4" s="60">
        <f t="shared" ref="I4:I8" si="1">J4*1000</f>
        <v>0</v>
      </c>
      <c r="J4" s="60">
        <f>IFERROR(s_WL/((s_Aeq_Feq!F3*1)/162),0)</f>
        <v>0</v>
      </c>
      <c r="K4" s="60"/>
      <c r="L4" s="60"/>
      <c r="M4" s="60"/>
    </row>
    <row r="5" spans="1:13" x14ac:dyDescent="0.25">
      <c r="A5" s="57" t="str">
        <f>isospec!A4</f>
        <v>Rn-219~Pb-211</v>
      </c>
      <c r="B5" s="60">
        <f t="shared" si="0"/>
        <v>0</v>
      </c>
      <c r="C5" s="60">
        <f>IFERROR(s_WL/((s_Aeq_Feq!D4*1)/162),0)</f>
        <v>0</v>
      </c>
      <c r="D5" s="60"/>
      <c r="E5" s="60"/>
      <c r="F5" s="60"/>
      <c r="I5" s="60">
        <f t="shared" si="1"/>
        <v>0</v>
      </c>
      <c r="J5" s="60">
        <f>IFERROR(s_WL/((s_Aeq_Feq!F4*1)/162),0)</f>
        <v>0</v>
      </c>
      <c r="K5" s="60"/>
      <c r="L5" s="60"/>
      <c r="M5" s="60"/>
    </row>
    <row r="6" spans="1:13" x14ac:dyDescent="0.25">
      <c r="A6" s="57" t="str">
        <f>isospec!A5</f>
        <v>Rn-219~Po-211</v>
      </c>
      <c r="B6" s="60">
        <f t="shared" si="0"/>
        <v>0</v>
      </c>
      <c r="C6" s="60">
        <f>IFERROR(s_WL/((s_Aeq_Feq!D5*1)/162),0)</f>
        <v>0</v>
      </c>
      <c r="D6" s="60"/>
      <c r="E6" s="60"/>
      <c r="F6" s="60"/>
      <c r="I6" s="60">
        <f t="shared" si="1"/>
        <v>0</v>
      </c>
      <c r="J6" s="60">
        <f>IFERROR(s_WL/((s_Aeq_Feq!F5*1)/162),0)</f>
        <v>0</v>
      </c>
      <c r="K6" s="60"/>
      <c r="L6" s="60"/>
      <c r="M6" s="60"/>
    </row>
    <row r="7" spans="1:13" x14ac:dyDescent="0.25">
      <c r="A7" s="57" t="str">
        <f>isospec!A6</f>
        <v>Rn-219~Po-215</v>
      </c>
      <c r="B7" s="60">
        <f t="shared" si="0"/>
        <v>0</v>
      </c>
      <c r="C7" s="60">
        <f>IFERROR(s_WL/((s_Aeq_Feq!D6*1)/162),0)</f>
        <v>0</v>
      </c>
      <c r="D7" s="60"/>
      <c r="E7" s="60"/>
      <c r="F7" s="60"/>
      <c r="I7" s="60">
        <f t="shared" si="1"/>
        <v>0</v>
      </c>
      <c r="J7" s="60">
        <f>IFERROR(s_WL/((s_Aeq_Feq!F6*1)/162),0)</f>
        <v>0</v>
      </c>
      <c r="K7" s="60"/>
      <c r="L7" s="60"/>
      <c r="M7" s="60"/>
    </row>
    <row r="8" spans="1:13" x14ac:dyDescent="0.25">
      <c r="A8" s="57" t="str">
        <f>isospec!A7</f>
        <v>Rn-219~Tl-207</v>
      </c>
      <c r="B8" s="60">
        <f t="shared" si="0"/>
        <v>0</v>
      </c>
      <c r="C8" s="60">
        <f>IFERROR(s_WL/((s_Aeq_Feq!D7*1)/162),0)</f>
        <v>0</v>
      </c>
      <c r="D8" s="60"/>
      <c r="E8" s="60"/>
      <c r="F8" s="60"/>
      <c r="I8" s="60">
        <f t="shared" si="1"/>
        <v>0</v>
      </c>
      <c r="J8" s="60">
        <f>IFERROR(s_WL/((s_Aeq_Feq!F7*1)/162),0)</f>
        <v>0</v>
      </c>
      <c r="K8" s="60"/>
      <c r="L8" s="60"/>
      <c r="M8" s="60"/>
    </row>
    <row r="9" spans="1:13" x14ac:dyDescent="0.25">
      <c r="A9" s="57" t="str">
        <f>isospec!A8</f>
        <v>Rn-220</v>
      </c>
      <c r="B9" s="59">
        <f>1/(1/B10)</f>
        <v>238672.90228795024</v>
      </c>
      <c r="C9" s="59">
        <f>1/(1/C10)</f>
        <v>238.67290228795028</v>
      </c>
      <c r="D9" s="59">
        <f>B9/s_AFss</f>
        <v>4773458.0457590045</v>
      </c>
      <c r="E9" s="59">
        <f>(B9/s_AFss)/1000</f>
        <v>4773.4580457590046</v>
      </c>
      <c r="F9" s="59">
        <f>IFERROR(B9/(s_AFgw*1000*s_isospec!M8),0)</f>
        <v>32856.432528890022</v>
      </c>
      <c r="I9" s="59">
        <f>1/(1/I10)</f>
        <v>238672.90228795024</v>
      </c>
      <c r="J9" s="59">
        <f>1/(1/J10)</f>
        <v>238.67290228795028</v>
      </c>
      <c r="K9" s="59">
        <f>I9/s_AFss</f>
        <v>4773458.0457590045</v>
      </c>
      <c r="L9" s="59">
        <f>(I9/s_AFss)/1000</f>
        <v>4773.4580457590046</v>
      </c>
      <c r="M9" s="59">
        <f>IFERROR(I9/(s_AFgw*1000*s_isospec!M8),0)</f>
        <v>32856.432528890022</v>
      </c>
    </row>
    <row r="10" spans="1:13" x14ac:dyDescent="0.25">
      <c r="A10" s="57" t="str">
        <f>isospec!A8</f>
        <v>Rn-220</v>
      </c>
      <c r="B10" s="60">
        <f>C10*1000</f>
        <v>238672.90228795027</v>
      </c>
      <c r="C10" s="60">
        <f>IFERROR(s_WL/((s_Aeq_Feq!D8*1)/7.5),0)</f>
        <v>238.67290228795028</v>
      </c>
      <c r="D10" s="60"/>
      <c r="E10" s="60"/>
      <c r="F10" s="60"/>
      <c r="I10" s="60">
        <f>J10*1000</f>
        <v>238672.90228795027</v>
      </c>
      <c r="J10" s="60">
        <f>IFERROR(s_WL/((s_Aeq_Feq!F8*1)/7.5),0)</f>
        <v>238.67290228795028</v>
      </c>
      <c r="K10" s="60"/>
      <c r="L10" s="60"/>
      <c r="M10" s="60"/>
    </row>
    <row r="11" spans="1:13" x14ac:dyDescent="0.25">
      <c r="A11" s="57" t="str">
        <f>isospec!A9</f>
        <v>Rn-220~Bi-212</v>
      </c>
      <c r="B11" s="60">
        <f t="shared" ref="B11:B15" si="2">C11*1000</f>
        <v>0</v>
      </c>
      <c r="C11" s="60">
        <f>IFERROR(s_WL/((s_Aeq_Feq!D9*1)/7.5),0)</f>
        <v>0</v>
      </c>
      <c r="D11" s="60"/>
      <c r="E11" s="60"/>
      <c r="F11" s="60"/>
      <c r="I11" s="60">
        <f t="shared" ref="I11:I15" si="3">J11*1000</f>
        <v>0</v>
      </c>
      <c r="J11" s="60">
        <f>IFERROR(s_WL/((s_Aeq_Feq!F9*1)/7.5),0)</f>
        <v>0</v>
      </c>
      <c r="K11" s="60"/>
      <c r="L11" s="60"/>
      <c r="M11" s="60"/>
    </row>
    <row r="12" spans="1:13" x14ac:dyDescent="0.25">
      <c r="A12" s="57" t="str">
        <f>isospec!A10</f>
        <v>Rn-220~Pb-212</v>
      </c>
      <c r="B12" s="60">
        <f t="shared" si="2"/>
        <v>0</v>
      </c>
      <c r="C12" s="60">
        <f>IFERROR(s_WL/((s_Aeq_Feq!D10*1)/7.5),0)</f>
        <v>0</v>
      </c>
      <c r="D12" s="60"/>
      <c r="E12" s="60"/>
      <c r="F12" s="60"/>
      <c r="I12" s="60">
        <f t="shared" si="3"/>
        <v>0</v>
      </c>
      <c r="J12" s="60">
        <f>IFERROR(s_WL/((s_Aeq_Feq!F10*1)/7.5),0)</f>
        <v>0</v>
      </c>
      <c r="K12" s="60"/>
      <c r="L12" s="60"/>
      <c r="M12" s="60"/>
    </row>
    <row r="13" spans="1:13" x14ac:dyDescent="0.25">
      <c r="A13" s="57" t="str">
        <f>isospec!A11</f>
        <v>Rn-220~Po-212</v>
      </c>
      <c r="B13" s="60">
        <f t="shared" si="2"/>
        <v>0</v>
      </c>
      <c r="C13" s="60">
        <f>IFERROR(s_WL/((s_Aeq_Feq!D11*1)/7.5),0)</f>
        <v>0</v>
      </c>
      <c r="D13" s="60"/>
      <c r="E13" s="60"/>
      <c r="F13" s="60"/>
      <c r="I13" s="60">
        <f t="shared" si="3"/>
        <v>0</v>
      </c>
      <c r="J13" s="60">
        <f>IFERROR(s_WL/((s_Aeq_Feq!F11*1)/7.5),0)</f>
        <v>0</v>
      </c>
      <c r="K13" s="60"/>
      <c r="L13" s="60"/>
      <c r="M13" s="60"/>
    </row>
    <row r="14" spans="1:13" x14ac:dyDescent="0.25">
      <c r="A14" s="57" t="str">
        <f>isospec!A12</f>
        <v>Rn-220~Po-216</v>
      </c>
      <c r="B14" s="60">
        <f t="shared" si="2"/>
        <v>0</v>
      </c>
      <c r="C14" s="60">
        <f>IFERROR(s_WL/((s_Aeq_Feq!D12*1)/7.5),0)</f>
        <v>0</v>
      </c>
      <c r="D14" s="60"/>
      <c r="E14" s="60"/>
      <c r="F14" s="60"/>
      <c r="I14" s="60">
        <f t="shared" si="3"/>
        <v>0</v>
      </c>
      <c r="J14" s="60">
        <f>IFERROR(s_WL/((s_Aeq_Feq!F12*1)/7.5),0)</f>
        <v>0</v>
      </c>
      <c r="K14" s="60"/>
      <c r="L14" s="60"/>
      <c r="M14" s="60"/>
    </row>
    <row r="15" spans="1:13" x14ac:dyDescent="0.25">
      <c r="A15" s="57" t="str">
        <f>isospec!A13</f>
        <v>Rn-220~Tl-208</v>
      </c>
      <c r="B15" s="60">
        <f t="shared" si="2"/>
        <v>0</v>
      </c>
      <c r="C15" s="60">
        <f>IFERROR(s_WL/((s_Aeq_Feq!D13*1)/7.5),0)</f>
        <v>0</v>
      </c>
      <c r="D15" s="60"/>
      <c r="E15" s="60"/>
      <c r="F15" s="60"/>
      <c r="I15" s="60">
        <f t="shared" si="3"/>
        <v>0</v>
      </c>
      <c r="J15" s="60">
        <f>IFERROR(s_WL/((s_Aeq_Feq!F13*1)/7.5),0)</f>
        <v>0</v>
      </c>
      <c r="K15" s="60"/>
      <c r="L15" s="60"/>
      <c r="M15" s="60"/>
    </row>
    <row r="16" spans="1:13" x14ac:dyDescent="0.25">
      <c r="A16" s="57" t="str">
        <f>isospec!A14</f>
        <v>Rn-222</v>
      </c>
      <c r="B16" s="59">
        <f>1/(1/B17)</f>
        <v>14370.605806453625</v>
      </c>
      <c r="C16" s="59">
        <f>1/(1/C17)</f>
        <v>14.370605806453623</v>
      </c>
      <c r="D16" s="59">
        <f>B16/s_AFss</f>
        <v>287412.1161290725</v>
      </c>
      <c r="E16" s="59">
        <f>(B16/s_AFss)/1000</f>
        <v>287.4121161290725</v>
      </c>
      <c r="F16" s="59">
        <f>IFERROR(B16/(s_AFgw*1000*s_isospec!M14),0)</f>
        <v>1658.2599610565087</v>
      </c>
      <c r="I16" s="59">
        <f>1/(1/I17)</f>
        <v>14370.605806453625</v>
      </c>
      <c r="J16" s="59">
        <f>1/(1/J17)</f>
        <v>14.370605806453623</v>
      </c>
      <c r="K16" s="59">
        <f>I16/s_AFss</f>
        <v>287412.1161290725</v>
      </c>
      <c r="L16" s="59">
        <f>(I16/s_AFss)/1000</f>
        <v>287.4121161290725</v>
      </c>
      <c r="M16" s="59">
        <f>IFERROR(I16/(s_AFgw*1000*s_isospec!M14),0)</f>
        <v>1658.2599610565087</v>
      </c>
    </row>
    <row r="17" spans="1:15" x14ac:dyDescent="0.25">
      <c r="A17" s="23" t="s">
        <v>1</v>
      </c>
      <c r="B17" s="60">
        <f>C17*1000</f>
        <v>14370.605806453623</v>
      </c>
      <c r="C17" s="60">
        <f>IFERROR(s_WL/((s_Aeq_Feq!D14*1)/100),0)</f>
        <v>14.370605806453623</v>
      </c>
      <c r="D17" s="60"/>
      <c r="E17" s="60"/>
      <c r="F17" s="60"/>
      <c r="I17" s="60">
        <f>J17*1000</f>
        <v>14370.605806453623</v>
      </c>
      <c r="J17" s="60">
        <f>IFERROR(s_WL/((s_Aeq_Feq!F14*1)/100),0)</f>
        <v>14.370605806453623</v>
      </c>
      <c r="K17" s="60"/>
      <c r="L17" s="60"/>
      <c r="M17" s="60"/>
    </row>
    <row r="18" spans="1:15" x14ac:dyDescent="0.25">
      <c r="A18" s="23" t="s">
        <v>108</v>
      </c>
      <c r="B18" s="60">
        <f t="shared" ref="B18" si="4">C18*1000</f>
        <v>0</v>
      </c>
      <c r="C18" s="60">
        <f>IFERROR(s_WL/((s_Aeq_Feq!D15*1)/100),0)</f>
        <v>0</v>
      </c>
      <c r="D18" s="60"/>
      <c r="E18" s="60"/>
      <c r="F18" s="60"/>
      <c r="I18" s="60">
        <f t="shared" ref="I18" si="5">J18*1000</f>
        <v>0</v>
      </c>
      <c r="J18" s="60">
        <f>IFERROR(s_WL/((s_Aeq_Feq!F15*1)/100),0)</f>
        <v>0</v>
      </c>
      <c r="K18" s="60"/>
      <c r="L18" s="60"/>
      <c r="M18" s="60"/>
    </row>
    <row r="19" spans="1:15" x14ac:dyDescent="0.25">
      <c r="A19" s="23" t="s">
        <v>173</v>
      </c>
      <c r="B19" s="60">
        <f t="shared" ref="B19:B29" si="6">C19*1000</f>
        <v>0</v>
      </c>
      <c r="C19" s="60">
        <f>IFERROR(s_WL/((s_Aeq_Feq!D16*1)/100),0)</f>
        <v>0</v>
      </c>
      <c r="D19" s="60"/>
      <c r="E19" s="60"/>
      <c r="F19" s="60"/>
      <c r="I19" s="60">
        <f t="shared" ref="I19:I29" si="7">J19*1000</f>
        <v>0</v>
      </c>
      <c r="J19" s="60">
        <f>IFERROR(s_WL/((s_Aeq_Feq!F16*1)/100),0)</f>
        <v>0</v>
      </c>
      <c r="K19" s="60"/>
      <c r="L19" s="60"/>
      <c r="M19" s="60"/>
    </row>
    <row r="20" spans="1:15" x14ac:dyDescent="0.25">
      <c r="A20" s="23" t="s">
        <v>109</v>
      </c>
      <c r="B20" s="60">
        <f t="shared" si="6"/>
        <v>0</v>
      </c>
      <c r="C20" s="60">
        <f>IFERROR(s_WL/((s_Aeq_Feq!D17*1)/100),0)</f>
        <v>0</v>
      </c>
      <c r="D20" s="60"/>
      <c r="E20" s="60"/>
      <c r="F20" s="60"/>
      <c r="I20" s="60">
        <f t="shared" si="7"/>
        <v>0</v>
      </c>
      <c r="J20" s="60">
        <f>IFERROR(s_WL/((s_Aeq_Feq!F17*1)/100),0)</f>
        <v>0</v>
      </c>
      <c r="K20" s="60"/>
      <c r="L20" s="60"/>
      <c r="M20" s="60"/>
    </row>
    <row r="21" spans="1:15" x14ac:dyDescent="0.25">
      <c r="A21" s="23" t="s">
        <v>174</v>
      </c>
      <c r="B21" s="60">
        <f t="shared" si="6"/>
        <v>0</v>
      </c>
      <c r="C21" s="60">
        <f>IFERROR(s_WL/((s_Aeq_Feq!D18*1)/100),0)</f>
        <v>0</v>
      </c>
      <c r="D21" s="60"/>
      <c r="E21" s="60"/>
      <c r="F21" s="60"/>
      <c r="I21" s="60">
        <f t="shared" si="7"/>
        <v>0</v>
      </c>
      <c r="J21" s="60">
        <f>IFERROR(s_WL/((s_Aeq_Feq!F18*1)/100),0)</f>
        <v>0</v>
      </c>
      <c r="K21" s="60"/>
      <c r="L21" s="60"/>
      <c r="M21" s="60"/>
    </row>
    <row r="22" spans="1:15" x14ac:dyDescent="0.25">
      <c r="A22" s="23" t="s">
        <v>175</v>
      </c>
      <c r="B22" s="60">
        <f t="shared" si="6"/>
        <v>0</v>
      </c>
      <c r="C22" s="60">
        <f>IFERROR(s_WL/((s_Aeq_Feq!D19*1)/100),0)</f>
        <v>0</v>
      </c>
      <c r="D22" s="60"/>
      <c r="E22" s="60"/>
      <c r="F22" s="60"/>
      <c r="I22" s="60">
        <f t="shared" si="7"/>
        <v>0</v>
      </c>
      <c r="J22" s="60">
        <f>IFERROR(s_WL/((s_Aeq_Feq!F19*1)/100),0)</f>
        <v>0</v>
      </c>
      <c r="K22" s="60"/>
      <c r="L22" s="60"/>
      <c r="M22" s="60"/>
    </row>
    <row r="23" spans="1:15" x14ac:dyDescent="0.25">
      <c r="A23" s="23" t="s">
        <v>107</v>
      </c>
      <c r="B23" s="60">
        <f t="shared" si="6"/>
        <v>0</v>
      </c>
      <c r="C23" s="60">
        <f>IFERROR(s_WL/((s_Aeq_Feq!D20*1)/100),0)</f>
        <v>0</v>
      </c>
      <c r="D23" s="60"/>
      <c r="E23" s="60"/>
      <c r="F23" s="60"/>
      <c r="I23" s="60">
        <f t="shared" si="7"/>
        <v>0</v>
      </c>
      <c r="J23" s="60">
        <f>IFERROR(s_WL/((s_Aeq_Feq!F20*1)/100),0)</f>
        <v>0</v>
      </c>
      <c r="K23" s="60"/>
      <c r="L23" s="60"/>
      <c r="M23" s="60"/>
    </row>
    <row r="24" spans="1:15" x14ac:dyDescent="0.25">
      <c r="A24" s="23" t="s">
        <v>176</v>
      </c>
      <c r="B24" s="60">
        <f t="shared" si="6"/>
        <v>0</v>
      </c>
      <c r="C24" s="60">
        <f>IFERROR(s_WL/((s_Aeq_Feq!D21*1)/100),0)</f>
        <v>0</v>
      </c>
      <c r="D24" s="60"/>
      <c r="E24" s="60"/>
      <c r="F24" s="60"/>
      <c r="I24" s="60">
        <f t="shared" si="7"/>
        <v>0</v>
      </c>
      <c r="J24" s="60">
        <f>IFERROR(s_WL/((s_Aeq_Feq!F21*1)/100),0)</f>
        <v>0</v>
      </c>
      <c r="K24" s="60"/>
      <c r="L24" s="60"/>
      <c r="M24" s="60"/>
    </row>
    <row r="25" spans="1:15" x14ac:dyDescent="0.25">
      <c r="A25" s="23" t="s">
        <v>111</v>
      </c>
      <c r="B25" s="60">
        <f t="shared" si="6"/>
        <v>0</v>
      </c>
      <c r="C25" s="60">
        <f>IFERROR(s_WL/((s_Aeq_Feq!D22*1)/100),0)</f>
        <v>0</v>
      </c>
      <c r="D25" s="60"/>
      <c r="E25" s="60"/>
      <c r="F25" s="60"/>
      <c r="I25" s="60">
        <f t="shared" si="7"/>
        <v>0</v>
      </c>
      <c r="J25" s="60">
        <f>IFERROR(s_WL/((s_Aeq_Feq!F22*1)/100),0)</f>
        <v>0</v>
      </c>
      <c r="K25" s="60"/>
      <c r="L25" s="60"/>
      <c r="M25" s="60"/>
    </row>
    <row r="26" spans="1:15" x14ac:dyDescent="0.25">
      <c r="A26" s="23" t="s">
        <v>106</v>
      </c>
      <c r="B26" s="60">
        <f t="shared" si="6"/>
        <v>0</v>
      </c>
      <c r="C26" s="60">
        <f>IFERROR(s_WL/((s_Aeq_Feq!D23*1)/100),0)</f>
        <v>0</v>
      </c>
      <c r="D26" s="60"/>
      <c r="E26" s="60"/>
      <c r="F26" s="60"/>
      <c r="I26" s="60">
        <f t="shared" si="7"/>
        <v>0</v>
      </c>
      <c r="J26" s="60">
        <f>IFERROR(s_WL/((s_Aeq_Feq!F23*1)/100),0)</f>
        <v>0</v>
      </c>
      <c r="K26" s="60"/>
      <c r="L26" s="60"/>
      <c r="M26" s="60"/>
    </row>
    <row r="27" spans="1:15" x14ac:dyDescent="0.25">
      <c r="A27" s="23" t="s">
        <v>110</v>
      </c>
      <c r="B27" s="60">
        <f t="shared" si="6"/>
        <v>0</v>
      </c>
      <c r="C27" s="60">
        <f>IFERROR(s_WL/((s_Aeq_Feq!D24*1)/100),0)</f>
        <v>0</v>
      </c>
      <c r="D27" s="60"/>
      <c r="E27" s="60"/>
      <c r="F27" s="60"/>
      <c r="I27" s="60">
        <f t="shared" si="7"/>
        <v>0</v>
      </c>
      <c r="J27" s="60">
        <f>IFERROR(s_WL/((s_Aeq_Feq!F24*1)/100),0)</f>
        <v>0</v>
      </c>
      <c r="K27" s="60"/>
      <c r="L27" s="60"/>
      <c r="M27" s="60"/>
    </row>
    <row r="28" spans="1:15" x14ac:dyDescent="0.25">
      <c r="A28" s="23" t="s">
        <v>177</v>
      </c>
      <c r="B28" s="60">
        <f t="shared" si="6"/>
        <v>0</v>
      </c>
      <c r="C28" s="60">
        <f>IFERROR(s_WL/((s_Aeq_Feq!D25*1)/100),0)</f>
        <v>0</v>
      </c>
      <c r="D28" s="60"/>
      <c r="E28" s="60"/>
      <c r="F28" s="60"/>
      <c r="I28" s="60">
        <f t="shared" si="7"/>
        <v>0</v>
      </c>
      <c r="J28" s="60">
        <f>IFERROR(s_WL/((s_Aeq_Feq!F25*1)/100),0)</f>
        <v>0</v>
      </c>
      <c r="K28" s="60"/>
      <c r="L28" s="60"/>
      <c r="M28" s="60"/>
    </row>
    <row r="29" spans="1:15" x14ac:dyDescent="0.25">
      <c r="A29" s="23" t="s">
        <v>112</v>
      </c>
      <c r="B29" s="60">
        <f t="shared" si="6"/>
        <v>0</v>
      </c>
      <c r="C29" s="60">
        <f>IFERROR(s_WL/((s_Aeq_Feq!D26*1)/100),0)</f>
        <v>0</v>
      </c>
      <c r="D29" s="60"/>
      <c r="E29" s="60"/>
      <c r="F29" s="60"/>
      <c r="I29" s="60">
        <f t="shared" si="7"/>
        <v>0</v>
      </c>
      <c r="J29" s="60">
        <f>IFERROR(s_WL/((s_Aeq_Feq!F26*1)/100),0)</f>
        <v>0</v>
      </c>
      <c r="K29" s="60"/>
      <c r="L29" s="60"/>
      <c r="M29" s="60"/>
    </row>
    <row r="30" spans="1:15" ht="19.5" thickBot="1" x14ac:dyDescent="0.35">
      <c r="A30" s="57"/>
      <c r="B30" s="116" t="s">
        <v>133</v>
      </c>
      <c r="C30" s="116"/>
      <c r="D30" s="116"/>
      <c r="E30" s="116"/>
      <c r="F30" s="116"/>
      <c r="G30" s="116"/>
      <c r="H30" s="116"/>
      <c r="I30" s="117" t="s">
        <v>134</v>
      </c>
      <c r="J30" s="117"/>
      <c r="K30" s="117"/>
      <c r="L30" s="117"/>
      <c r="M30" s="117"/>
      <c r="N30" s="117"/>
      <c r="O30" s="117"/>
    </row>
    <row r="31" spans="1:15" ht="16.5" customHeight="1" x14ac:dyDescent="0.25">
      <c r="A31" s="62" t="s">
        <v>81</v>
      </c>
      <c r="B31" s="110" t="s">
        <v>125</v>
      </c>
      <c r="C31" s="94" t="s">
        <v>171</v>
      </c>
      <c r="D31" s="94" t="s">
        <v>172</v>
      </c>
      <c r="E31" s="120" t="s">
        <v>151</v>
      </c>
      <c r="F31" s="94" t="s">
        <v>171</v>
      </c>
      <c r="G31" s="120" t="s">
        <v>152</v>
      </c>
      <c r="H31" s="94" t="s">
        <v>172</v>
      </c>
      <c r="I31" s="110" t="s">
        <v>125</v>
      </c>
      <c r="J31" s="94" t="s">
        <v>171</v>
      </c>
      <c r="K31" s="94" t="s">
        <v>172</v>
      </c>
      <c r="L31" s="120" t="s">
        <v>151</v>
      </c>
      <c r="M31" s="94" t="s">
        <v>171</v>
      </c>
      <c r="N31" s="120" t="s">
        <v>152</v>
      </c>
      <c r="O31" s="98" t="s">
        <v>172</v>
      </c>
    </row>
    <row r="32" spans="1:15" ht="16.5" customHeight="1" x14ac:dyDescent="0.25">
      <c r="A32" s="57" t="s">
        <v>77</v>
      </c>
      <c r="B32" s="111"/>
      <c r="C32" s="63" t="s">
        <v>120</v>
      </c>
      <c r="D32" s="64" t="s">
        <v>120</v>
      </c>
      <c r="E32" s="121"/>
      <c r="F32" s="63" t="s">
        <v>120</v>
      </c>
      <c r="G32" s="121"/>
      <c r="H32" s="63" t="s">
        <v>120</v>
      </c>
      <c r="I32" s="111"/>
      <c r="J32" s="63" t="s">
        <v>120</v>
      </c>
      <c r="K32" s="64" t="s">
        <v>120</v>
      </c>
      <c r="L32" s="121"/>
      <c r="M32" s="63" t="s">
        <v>120</v>
      </c>
      <c r="N32" s="121"/>
      <c r="O32" s="99" t="s">
        <v>120</v>
      </c>
    </row>
    <row r="33" spans="1:15" x14ac:dyDescent="0.25">
      <c r="A33" s="57" t="str">
        <f>isospec!A2</f>
        <v>Rn-219</v>
      </c>
      <c r="B33" s="122"/>
      <c r="C33" s="123"/>
      <c r="D33" s="124"/>
      <c r="E33" s="95"/>
      <c r="F33" s="96"/>
      <c r="G33" s="95"/>
      <c r="H33" s="96"/>
      <c r="I33" s="84"/>
      <c r="J33" s="85"/>
      <c r="K33" s="86"/>
      <c r="L33" s="84"/>
      <c r="M33" s="85"/>
      <c r="N33" s="95"/>
      <c r="O33" s="100"/>
    </row>
    <row r="34" spans="1:15" x14ac:dyDescent="0.25">
      <c r="A34" s="57" t="str">
        <f>isospec!A2</f>
        <v>Rn-219</v>
      </c>
      <c r="B34" s="70">
        <v>5</v>
      </c>
      <c r="C34" s="71">
        <f>IFERROR(B34*((s_Aeq_Feq!D2*1)/162),".")</f>
        <v>4.5950874382716051E-3</v>
      </c>
      <c r="D34" s="72">
        <f>IFERROR((B34/1000)*((s_Aeq_Feq!D2*1)/162),".")</f>
        <v>4.5950874382716052E-6</v>
      </c>
      <c r="E34" s="70">
        <f>IFERROR(B34*(s_AFgw*1000*s_isospec!$M2),".")</f>
        <v>36.320574681698901</v>
      </c>
      <c r="F34" s="71">
        <f>IFERROR((E34/1000)*((s_Aeq_Feq!D2*1)/162),".")</f>
        <v>3.3379243294136058E-5</v>
      </c>
      <c r="G34" s="70">
        <f>B$34*s_AFss</f>
        <v>0.25</v>
      </c>
      <c r="H34" s="71">
        <f>IFERROR((G34/1000)*((s_Aeq_Feq!D2*1)/162),".")</f>
        <v>2.2975437191358025E-7</v>
      </c>
      <c r="I34" s="70">
        <v>5</v>
      </c>
      <c r="J34" s="71">
        <f>IFERROR(I34*((s_Aeq_Feq!D2*1)/162),".")</f>
        <v>4.5950874382716051E-3</v>
      </c>
      <c r="K34" s="72">
        <f>IFERROR((I34/1000)*((s_Aeq_Feq!D2*1)/162),".")</f>
        <v>4.5950874382716052E-6</v>
      </c>
      <c r="L34" s="70">
        <f>IFERROR(I34*(s_AFgw*1000*s_isospec!$M2),".")</f>
        <v>36.320574681698901</v>
      </c>
      <c r="M34" s="71">
        <f>IFERROR((L34/1000)*((s_Aeq_Feq!D2*1)/162),".")</f>
        <v>3.3379243294136058E-5</v>
      </c>
      <c r="N34" s="70">
        <f>I$34*s_AFss</f>
        <v>0.25</v>
      </c>
      <c r="O34" s="101">
        <f>IFERROR((N34/1000)*((s_Aeq_Feq!D2*1)/162),".")</f>
        <v>2.2975437191358025E-7</v>
      </c>
    </row>
    <row r="35" spans="1:15" x14ac:dyDescent="0.25">
      <c r="A35" s="57" t="str">
        <f>isospec!A3</f>
        <v>Rn-219~Bi-211</v>
      </c>
      <c r="B35" s="70">
        <f>B$34*s_Aeq_Feq!$B3</f>
        <v>0.74399999999999999</v>
      </c>
      <c r="C35" s="71">
        <f>IFERROR(B35*((Aeq_Feq!D3*1)/162),".")</f>
        <v>0</v>
      </c>
      <c r="D35" s="72">
        <f>IFERROR((B35/1000)*((s_Aeq_Feq!D3*1)/162),".")</f>
        <v>0</v>
      </c>
      <c r="E35" s="70">
        <f>E$34*s_Aeq_Feq!$B3</f>
        <v>5.4045015126367959</v>
      </c>
      <c r="F35" s="71">
        <f>IFERROR((E35/1000)*((s_Aeq_Feq!D3*1)/162),".")</f>
        <v>0</v>
      </c>
      <c r="G35" s="70">
        <f>G$34*s_Aeq_Feq!$B3</f>
        <v>3.7199999999999997E-2</v>
      </c>
      <c r="H35" s="71">
        <f>IFERROR((G35/1000)*((s_Aeq_Feq!D3*1)/162),".")</f>
        <v>0</v>
      </c>
      <c r="I35" s="70">
        <f>I$34*s_Aeq_Feq!$B3</f>
        <v>0.74399999999999999</v>
      </c>
      <c r="J35" s="71">
        <f>IFERROR(I35*((s_Aeq_Feq!D3*1)/162),".")</f>
        <v>0</v>
      </c>
      <c r="K35" s="72">
        <f>IFERROR((I35/1000)*((s_Aeq_Feq!D3*1)/162),".")</f>
        <v>0</v>
      </c>
      <c r="L35" s="70">
        <f>L$34*s_Aeq_Feq!$B3</f>
        <v>5.4045015126367959</v>
      </c>
      <c r="M35" s="71">
        <f>IFERROR((L35/1000)*((s_Aeq_Feq!D3*1)/162),".")</f>
        <v>0</v>
      </c>
      <c r="N35" s="70">
        <f>N$34*s_Aeq_Feq!$B3</f>
        <v>3.7199999999999997E-2</v>
      </c>
      <c r="O35" s="101">
        <f>IFERROR((N35/1000)*((s_Aeq_Feq!D3*1)/162),".")</f>
        <v>0</v>
      </c>
    </row>
    <row r="36" spans="1:15" x14ac:dyDescent="0.25">
      <c r="A36" s="57" t="str">
        <f>isospec!A4</f>
        <v>Rn-219~Pb-211</v>
      </c>
      <c r="B36" s="70">
        <f>B$34*s_Aeq_Feq!$B4</f>
        <v>0.9355</v>
      </c>
      <c r="C36" s="71">
        <f>IFERROR(B36*((Aeq_Feq!D4*1)/162),".")</f>
        <v>0</v>
      </c>
      <c r="D36" s="72">
        <f>IFERROR((B36/1000)*((s_Aeq_Feq!D4*1)/162),".")</f>
        <v>0</v>
      </c>
      <c r="E36" s="70">
        <f>E$34*s_Aeq_Feq!$B4</f>
        <v>6.7955795229458635</v>
      </c>
      <c r="F36" s="71">
        <f>IFERROR((E36/1000)*((s_Aeq_Feq!D4*1)/162),".")</f>
        <v>0</v>
      </c>
      <c r="G36" s="70">
        <f>G$34*s_Aeq_Feq!$B4</f>
        <v>4.6774999999999997E-2</v>
      </c>
      <c r="H36" s="71">
        <f>IFERROR((G36/1000)*((s_Aeq_Feq!D4*1)/162),".")</f>
        <v>0</v>
      </c>
      <c r="I36" s="70">
        <f>I$34*s_Aeq_Feq!$B4</f>
        <v>0.9355</v>
      </c>
      <c r="J36" s="71">
        <f>IFERROR(I36*((s_Aeq_Feq!D4*1)/162),".")</f>
        <v>0</v>
      </c>
      <c r="K36" s="72">
        <f>IFERROR((I36/1000)*((s_Aeq_Feq!D4*1)/162),".")</f>
        <v>0</v>
      </c>
      <c r="L36" s="70">
        <f>L$34*s_Aeq_Feq!$B4</f>
        <v>6.7955795229458635</v>
      </c>
      <c r="M36" s="71">
        <f>IFERROR((L36/1000)*((s_Aeq_Feq!D4*1)/162),".")</f>
        <v>0</v>
      </c>
      <c r="N36" s="70">
        <f>N$34*s_Aeq_Feq!$B4</f>
        <v>4.6774999999999997E-2</v>
      </c>
      <c r="O36" s="101">
        <f>IFERROR((N36/1000)*((s_Aeq_Feq!D4*1)/162),".")</f>
        <v>0</v>
      </c>
    </row>
    <row r="37" spans="1:15" x14ac:dyDescent="0.25">
      <c r="A37" s="57" t="str">
        <f>isospec!A5</f>
        <v>Rn-219~Po-211</v>
      </c>
      <c r="B37" s="70">
        <f>B$34*s_Aeq_Feq!$B5</f>
        <v>2E-3</v>
      </c>
      <c r="C37" s="71">
        <f>IFERROR(B37*((Aeq_Feq!D5*1)/162),".")</f>
        <v>0</v>
      </c>
      <c r="D37" s="72">
        <f>IFERROR((B37/1000)*((s_Aeq_Feq!D5*1)/162),".")</f>
        <v>0</v>
      </c>
      <c r="E37" s="70">
        <f>E$34*s_Aeq_Feq!$B5</f>
        <v>1.4528229872679561E-2</v>
      </c>
      <c r="F37" s="71">
        <f>IFERROR((E37/1000)*((s_Aeq_Feq!D5*1)/162),".")</f>
        <v>0</v>
      </c>
      <c r="G37" s="70">
        <f>G$34*s_Aeq_Feq!$B5</f>
        <v>1E-4</v>
      </c>
      <c r="H37" s="71">
        <f>IFERROR((G37/1000)*((s_Aeq_Feq!D5*1)/162),".")</f>
        <v>0</v>
      </c>
      <c r="I37" s="70">
        <f>I$34*s_Aeq_Feq!$B5</f>
        <v>2E-3</v>
      </c>
      <c r="J37" s="71">
        <f>IFERROR(I37*((s_Aeq_Feq!D5*1)/162),".")</f>
        <v>0</v>
      </c>
      <c r="K37" s="72">
        <f>IFERROR((I37/1000)*((s_Aeq_Feq!D5*1)/162),".")</f>
        <v>0</v>
      </c>
      <c r="L37" s="70">
        <f>L$34*s_Aeq_Feq!$B5</f>
        <v>1.4528229872679561E-2</v>
      </c>
      <c r="M37" s="71">
        <f>IFERROR((L37/1000)*((s_Aeq_Feq!D5*1)/162),".")</f>
        <v>0</v>
      </c>
      <c r="N37" s="70">
        <f>N$34*s_Aeq_Feq!$B5</f>
        <v>1E-4</v>
      </c>
      <c r="O37" s="101">
        <f>IFERROR((N37/1000)*((s_Aeq_Feq!D5*1)/162),".")</f>
        <v>0</v>
      </c>
    </row>
    <row r="38" spans="1:15" x14ac:dyDescent="0.25">
      <c r="A38" s="57" t="str">
        <f>isospec!A6</f>
        <v>Rn-219~Po-215</v>
      </c>
      <c r="B38" s="70">
        <f>B$34*s_Aeq_Feq!$B6</f>
        <v>4.9835000000000003</v>
      </c>
      <c r="C38" s="71">
        <f>IFERROR(B38*((Aeq_Feq!D6*1)/162),".")</f>
        <v>0</v>
      </c>
      <c r="D38" s="72">
        <f>IFERROR((B38/1000)*((s_Aeq_Feq!D6*1)/162),".")</f>
        <v>0</v>
      </c>
      <c r="E38" s="70">
        <f>E$34*s_Aeq_Feq!$B6</f>
        <v>36.200716785249298</v>
      </c>
      <c r="F38" s="71">
        <f>IFERROR((E38/1000)*((s_Aeq_Feq!D6*1)/162),".")</f>
        <v>0</v>
      </c>
      <c r="G38" s="70">
        <f>G$34*s_Aeq_Feq!$B6</f>
        <v>0.24917500000000001</v>
      </c>
      <c r="H38" s="71">
        <f>IFERROR((G38/1000)*((s_Aeq_Feq!D6*1)/162),".")</f>
        <v>0</v>
      </c>
      <c r="I38" s="70">
        <f>I$34*s_Aeq_Feq!$B6</f>
        <v>4.9835000000000003</v>
      </c>
      <c r="J38" s="71">
        <f>IFERROR(I38*((s_Aeq_Feq!D6*1)/162),".")</f>
        <v>0</v>
      </c>
      <c r="K38" s="72">
        <f>IFERROR((I38/1000)*((s_Aeq_Feq!D6*1)/162),".")</f>
        <v>0</v>
      </c>
      <c r="L38" s="70">
        <f>L$34*s_Aeq_Feq!$B6</f>
        <v>36.200716785249298</v>
      </c>
      <c r="M38" s="71">
        <f>IFERROR((L38/1000)*((s_Aeq_Feq!D6*1)/162),".")</f>
        <v>0</v>
      </c>
      <c r="N38" s="70">
        <f>N$34*s_Aeq_Feq!$B6</f>
        <v>0.24917500000000001</v>
      </c>
      <c r="O38" s="101">
        <f>IFERROR((N38/1000)*((s_Aeq_Feq!D6*1)/162),".")</f>
        <v>0</v>
      </c>
    </row>
    <row r="39" spans="1:15" x14ac:dyDescent="0.25">
      <c r="A39" s="57" t="str">
        <f>isospec!A7</f>
        <v>Rn-219~Tl-207</v>
      </c>
      <c r="B39" s="70">
        <f>B$34*s_Aeq_Feq!$B7</f>
        <v>0.47149999999999997</v>
      </c>
      <c r="C39" s="71">
        <f>IFERROR(B39*((Aeq_Feq!D7*1)/162),".")</f>
        <v>0</v>
      </c>
      <c r="D39" s="72">
        <f>IFERROR((B39/1000)*((s_Aeq_Feq!D7*1)/162),".")</f>
        <v>0</v>
      </c>
      <c r="E39" s="70">
        <f>E$34*s_Aeq_Feq!$B7</f>
        <v>3.4250301924842059</v>
      </c>
      <c r="F39" s="71">
        <f>IFERROR((E39/1000)*((s_Aeq_Feq!D7*1)/162),".")</f>
        <v>0</v>
      </c>
      <c r="G39" s="70">
        <f>G$34*s_Aeq_Feq!$B7</f>
        <v>2.3574999999999999E-2</v>
      </c>
      <c r="H39" s="71">
        <f>IFERROR((G39/1000)*((s_Aeq_Feq!D7*1)/162),".")</f>
        <v>0</v>
      </c>
      <c r="I39" s="70">
        <f>I$34*s_Aeq_Feq!$B7</f>
        <v>0.47149999999999997</v>
      </c>
      <c r="J39" s="71">
        <f>IFERROR(I39*((s_Aeq_Feq!D7*1)/162),".")</f>
        <v>0</v>
      </c>
      <c r="K39" s="72">
        <f>IFERROR((I39/1000)*((s_Aeq_Feq!D7*1)/162),".")</f>
        <v>0</v>
      </c>
      <c r="L39" s="70">
        <f>L$34*s_Aeq_Feq!$B7</f>
        <v>3.4250301924842059</v>
      </c>
      <c r="M39" s="71">
        <f>IFERROR((L39/1000)*((s_Aeq_Feq!D7*1)/162),".")</f>
        <v>0</v>
      </c>
      <c r="N39" s="70">
        <f>N$34*s_Aeq_Feq!$B7</f>
        <v>2.3574999999999999E-2</v>
      </c>
      <c r="O39" s="101">
        <f>IFERROR((N39/1000)*((s_Aeq_Feq!D7*1)/162),".")</f>
        <v>0</v>
      </c>
    </row>
    <row r="40" spans="1:15" x14ac:dyDescent="0.25">
      <c r="A40" s="57" t="str">
        <f>isospec!A8</f>
        <v>Rn-220</v>
      </c>
      <c r="B40" s="122"/>
      <c r="C40" s="123"/>
      <c r="D40" s="124"/>
      <c r="E40" s="95"/>
      <c r="F40" s="96"/>
      <c r="G40" s="95"/>
      <c r="H40" s="96"/>
      <c r="I40" s="84"/>
      <c r="J40" s="85"/>
      <c r="K40" s="86"/>
      <c r="L40" s="84"/>
      <c r="M40" s="85"/>
      <c r="N40" s="95"/>
      <c r="O40" s="100"/>
    </row>
    <row r="41" spans="1:15" x14ac:dyDescent="0.25">
      <c r="A41" s="57" t="str">
        <f>isospec!A8</f>
        <v>Rn-220</v>
      </c>
      <c r="B41" s="70">
        <f>Cia_219</f>
        <v>5</v>
      </c>
      <c r="C41" s="71">
        <f>IFERROR(B41*((s_Aeq_Feq!D8*1)/7.5),".")</f>
        <v>1.0474586666666668E-3</v>
      </c>
      <c r="D41" s="72">
        <f>IFERROR((B41/1000)*((s_Aeq_Feq!D8*1)/7.5),".")</f>
        <v>1.0474586666666667E-6</v>
      </c>
      <c r="E41" s="70">
        <f>IFERROR(B41*(s_AFgw*1000*s_isospec!$M8),".")</f>
        <v>36.320574681698901</v>
      </c>
      <c r="F41" s="71">
        <f>IFERROR((E41/1000)*((s_Aeq_Feq!D8*1)/7.5),".")</f>
        <v>7.6088601457318846E-6</v>
      </c>
      <c r="G41" s="70">
        <f>B$41*s_AFss</f>
        <v>0.25</v>
      </c>
      <c r="H41" s="71">
        <f>IFERROR((G41/1000)*((s_Aeq_Feq!D8*1)/7.5),".")</f>
        <v>5.2372933333333336E-8</v>
      </c>
      <c r="I41" s="70">
        <f>Cia_219</f>
        <v>5</v>
      </c>
      <c r="J41" s="71">
        <f>IFERROR(I41*((s_Aeq_Feq!D8*1)/7.5),".")</f>
        <v>1.0474586666666668E-3</v>
      </c>
      <c r="K41" s="72">
        <f>IFERROR((I41/1000)*((s_Aeq_Feq!D8*1)/7.5),".")</f>
        <v>1.0474586666666667E-6</v>
      </c>
      <c r="L41" s="70">
        <f>IFERROR(I41*(s_AFgw*1000*s_isospec!$M8),".")</f>
        <v>36.320574681698901</v>
      </c>
      <c r="M41" s="71">
        <f>IFERROR((L41/1000)*((s_Aeq_Feq!D8*1)/7.5),".")</f>
        <v>7.6088601457318846E-6</v>
      </c>
      <c r="N41" s="70">
        <f>I$41*s_AFss</f>
        <v>0.25</v>
      </c>
      <c r="O41" s="101">
        <f>IFERROR((N41/1000)*((s_Aeq_Feq!D8*1)/7.5),".")</f>
        <v>5.2372933333333336E-8</v>
      </c>
    </row>
    <row r="42" spans="1:15" x14ac:dyDescent="0.25">
      <c r="A42" s="57" t="str">
        <f>isospec!A9</f>
        <v>Rn-220~Bi-212</v>
      </c>
      <c r="B42" s="70">
        <f>B$41*s_Aeq_Feq!$B9</f>
        <v>8.0000000000000002E-3</v>
      </c>
      <c r="C42" s="71">
        <f>IFERROR(B42*((s_Aeq_Feq!D9*1)/162),".")</f>
        <v>0</v>
      </c>
      <c r="D42" s="72">
        <f>IFERROR((B42/1000)*((s_Aeq_Feq!D9*1)/7.5),".")</f>
        <v>0</v>
      </c>
      <c r="E42" s="70">
        <f>E$41*s_Aeq_Feq!$B9</f>
        <v>5.8112919490718243E-2</v>
      </c>
      <c r="F42" s="71">
        <f>IFERROR((E42/1000)*((s_Aeq_Feq!D9*1)/7.5),".")</f>
        <v>0</v>
      </c>
      <c r="G42" s="70">
        <f>G$41*s_Aeq_Feq!$B9</f>
        <v>4.0000000000000002E-4</v>
      </c>
      <c r="H42" s="71">
        <f>IFERROR((G42/1000)*((s_Aeq_Feq!D9*1)/7.5),".")</f>
        <v>0</v>
      </c>
      <c r="I42" s="70">
        <f>I$41*s_Aeq_Feq!$B9</f>
        <v>8.0000000000000002E-3</v>
      </c>
      <c r="J42" s="71">
        <f>IFERROR(I42*((s_Aeq_Feq!D9*1)/7.5),".")</f>
        <v>0</v>
      </c>
      <c r="K42" s="72">
        <f>IFERROR((I42/1000)*((s_Aeq_Feq!D9*1)/7.5),".")</f>
        <v>0</v>
      </c>
      <c r="L42" s="70">
        <f>L$41*s_Aeq_Feq!$B9</f>
        <v>5.8112919490718243E-2</v>
      </c>
      <c r="M42" s="71">
        <f>IFERROR((L42/1000)*((s_Aeq_Feq!D9*1)/7.5),".")</f>
        <v>0</v>
      </c>
      <c r="N42" s="70">
        <f>N$41*s_Aeq_Feq!$B9</f>
        <v>4.0000000000000002E-4</v>
      </c>
      <c r="O42" s="101">
        <f>IFERROR((N42/1000)*((s_Aeq_Feq!D9*1)/7.5),".")</f>
        <v>0</v>
      </c>
    </row>
    <row r="43" spans="1:15" x14ac:dyDescent="0.25">
      <c r="A43" s="57" t="str">
        <f>isospec!A10</f>
        <v>Rn-220~Pb-212</v>
      </c>
      <c r="B43" s="70">
        <f>B$41*s_Aeq_Feq!$B10</f>
        <v>6.4500000000000002E-2</v>
      </c>
      <c r="C43" s="71">
        <f>IFERROR(B43*((s_Aeq_Feq!D10*1)/162),".")</f>
        <v>0</v>
      </c>
      <c r="D43" s="72">
        <f>IFERROR((B43/1000)*((s_Aeq_Feq!D10*1)/7.5),".")</f>
        <v>0</v>
      </c>
      <c r="E43" s="70">
        <f>E$41*s_Aeq_Feq!$B10</f>
        <v>0.4685354133939158</v>
      </c>
      <c r="F43" s="71">
        <f>IFERROR((E43/1000)*((s_Aeq_Feq!D10*1)/7.5),".")</f>
        <v>0</v>
      </c>
      <c r="G43" s="70">
        <f>G$41*s_Aeq_Feq!$B10</f>
        <v>3.225E-3</v>
      </c>
      <c r="H43" s="71">
        <f>IFERROR((G43/1000)*((s_Aeq_Feq!D10*1)/7.5),".")</f>
        <v>0</v>
      </c>
      <c r="I43" s="70">
        <f>I$41*s_Aeq_Feq!$B10</f>
        <v>6.4500000000000002E-2</v>
      </c>
      <c r="J43" s="71">
        <f>IFERROR(I43*((s_Aeq_Feq!D10*1)/7.5),".")</f>
        <v>0</v>
      </c>
      <c r="K43" s="72">
        <f>IFERROR((I43/1000)*((s_Aeq_Feq!D10*1)/7.5),".")</f>
        <v>0</v>
      </c>
      <c r="L43" s="70">
        <f>L$41*s_Aeq_Feq!$B10</f>
        <v>0.4685354133939158</v>
      </c>
      <c r="M43" s="71">
        <f>IFERROR((L43/1000)*((s_Aeq_Feq!D10*1)/7.5),".")</f>
        <v>0</v>
      </c>
      <c r="N43" s="70">
        <f>N$41*s_Aeq_Feq!$B10</f>
        <v>3.225E-3</v>
      </c>
      <c r="O43" s="101">
        <f>IFERROR((N43/1000)*((s_Aeq_Feq!D10*1)/7.5),".")</f>
        <v>0</v>
      </c>
    </row>
    <row r="44" spans="1:15" x14ac:dyDescent="0.25">
      <c r="A44" s="57" t="str">
        <f>isospec!A11</f>
        <v>Rn-220~Po-212</v>
      </c>
      <c r="B44" s="70">
        <f>B$41*s_Aeq_Feq!$B11</f>
        <v>5.0000000000000001E-3</v>
      </c>
      <c r="C44" s="71">
        <f>IFERROR(B44*((s_Aeq_Feq!D11*1)/162),".")</f>
        <v>0</v>
      </c>
      <c r="D44" s="72">
        <f>IFERROR((B44/1000)*((s_Aeq_Feq!D11*1)/7.5),".")</f>
        <v>0</v>
      </c>
      <c r="E44" s="70">
        <f>E$41*s_Aeq_Feq!$B11</f>
        <v>3.63205746816989E-2</v>
      </c>
      <c r="F44" s="71">
        <f>IFERROR((E44/1000)*((s_Aeq_Feq!D11*1)/7.5),".")</f>
        <v>0</v>
      </c>
      <c r="G44" s="70">
        <f>G$41*s_Aeq_Feq!$B11</f>
        <v>2.5000000000000001E-4</v>
      </c>
      <c r="H44" s="71">
        <f>IFERROR((G44/1000)*((s_Aeq_Feq!D11*1)/7.5),".")</f>
        <v>0</v>
      </c>
      <c r="I44" s="70">
        <f>I$41*s_Aeq_Feq!$B11</f>
        <v>5.0000000000000001E-3</v>
      </c>
      <c r="J44" s="71">
        <f>IFERROR(I44*((s_Aeq_Feq!D11*1)/7.5),".")</f>
        <v>0</v>
      </c>
      <c r="K44" s="72">
        <f>IFERROR((I44/1000)*((s_Aeq_Feq!D11*1)/7.5),".")</f>
        <v>0</v>
      </c>
      <c r="L44" s="70">
        <f>L$41*s_Aeq_Feq!$B11</f>
        <v>3.63205746816989E-2</v>
      </c>
      <c r="M44" s="71">
        <f>IFERROR((L44/1000)*((s_Aeq_Feq!D11*1)/7.5),".")</f>
        <v>0</v>
      </c>
      <c r="N44" s="70">
        <f>N$41*s_Aeq_Feq!$B11</f>
        <v>2.5000000000000001E-4</v>
      </c>
      <c r="O44" s="101">
        <f>IFERROR((N44/1000)*((s_Aeq_Feq!D11*1)/7.5),".")</f>
        <v>0</v>
      </c>
    </row>
    <row r="45" spans="1:15" x14ac:dyDescent="0.25">
      <c r="A45" s="57" t="str">
        <f>isospec!A12</f>
        <v>Rn-220~Po-216</v>
      </c>
      <c r="B45" s="70">
        <f>B$41*s_Aeq_Feq!$B12</f>
        <v>4.9984999999999999</v>
      </c>
      <c r="C45" s="71">
        <f>IFERROR(B45*((s_Aeq_Feq!D12*1)/162),".")</f>
        <v>0</v>
      </c>
      <c r="D45" s="72">
        <f>IFERROR((B45/1000)*((s_Aeq_Feq!D12*1)/7.5),".")</f>
        <v>0</v>
      </c>
      <c r="E45" s="70">
        <f>E$41*s_Aeq_Feq!$B12</f>
        <v>36.309678509294393</v>
      </c>
      <c r="F45" s="71">
        <f>IFERROR((E45/1000)*((s_Aeq_Feq!D12*1)/7.5),".")</f>
        <v>0</v>
      </c>
      <c r="G45" s="70">
        <f>G$41*s_Aeq_Feq!$B12</f>
        <v>0.24992500000000001</v>
      </c>
      <c r="H45" s="71">
        <f>IFERROR((G45/1000)*((s_Aeq_Feq!D12*1)/7.5),".")</f>
        <v>0</v>
      </c>
      <c r="I45" s="70">
        <f>I$41*s_Aeq_Feq!$B12</f>
        <v>4.9984999999999999</v>
      </c>
      <c r="J45" s="71">
        <f>IFERROR(I45*((s_Aeq_Feq!D12*1)/7.5),".")</f>
        <v>0</v>
      </c>
      <c r="K45" s="72">
        <f>IFERROR((I45/1000)*((s_Aeq_Feq!D12*1)/7.5),".")</f>
        <v>0</v>
      </c>
      <c r="L45" s="70">
        <f>L$41*s_Aeq_Feq!$B12</f>
        <v>36.309678509294393</v>
      </c>
      <c r="M45" s="71">
        <f>IFERROR((L45/1000)*((s_Aeq_Feq!D12*1)/7.5),".")</f>
        <v>0</v>
      </c>
      <c r="N45" s="70">
        <f>N$41*s_Aeq_Feq!$B12</f>
        <v>0.24992500000000001</v>
      </c>
      <c r="O45" s="101">
        <f>IFERROR((N45/1000)*((s_Aeq_Feq!D12*1)/7.5),".")</f>
        <v>0</v>
      </c>
    </row>
    <row r="46" spans="1:15" x14ac:dyDescent="0.25">
      <c r="A46" s="57" t="str">
        <f>isospec!A13</f>
        <v>Rn-220~Tl-208</v>
      </c>
      <c r="B46" s="70">
        <f>B$41*s_Aeq_Feq!$B13</f>
        <v>2E-3</v>
      </c>
      <c r="C46" s="71">
        <f>IFERROR(B46*((s_Aeq_Feq!D13*1)/162),".")</f>
        <v>0</v>
      </c>
      <c r="D46" s="72">
        <f>IFERROR((B46/1000)*((s_Aeq_Feq!D13*1)/7.5),".")</f>
        <v>0</v>
      </c>
      <c r="E46" s="70">
        <f>E$41*s_Aeq_Feq!$B13</f>
        <v>1.4528229872679561E-2</v>
      </c>
      <c r="F46" s="71">
        <f>IFERROR((E46/1000)*((s_Aeq_Feq!D13*1)/7.5),".")</f>
        <v>0</v>
      </c>
      <c r="G46" s="70">
        <f>G$41*s_Aeq_Feq!$B13</f>
        <v>1E-4</v>
      </c>
      <c r="H46" s="71">
        <f>IFERROR((G46/1000)*((s_Aeq_Feq!D13*1)/7.5),".")</f>
        <v>0</v>
      </c>
      <c r="I46" s="70">
        <f>I$41*s_Aeq_Feq!$B13</f>
        <v>2E-3</v>
      </c>
      <c r="J46" s="71">
        <f>IFERROR(I46*((s_Aeq_Feq!D13*1)/7.5),".")</f>
        <v>0</v>
      </c>
      <c r="K46" s="72">
        <f>IFERROR((I46/1000)*((s_Aeq_Feq!D13*1)/7.5),".")</f>
        <v>0</v>
      </c>
      <c r="L46" s="70">
        <f>L$41*s_Aeq_Feq!$B13</f>
        <v>1.4528229872679561E-2</v>
      </c>
      <c r="M46" s="71">
        <f>IFERROR((L46/1000)*((s_Aeq_Feq!D13*1)/7.5),".")</f>
        <v>0</v>
      </c>
      <c r="N46" s="70">
        <f>N$41*s_Aeq_Feq!$B13</f>
        <v>1E-4</v>
      </c>
      <c r="O46" s="101">
        <f>IFERROR((N46/1000)*((s_Aeq_Feq!D13*1)/7.5),".")</f>
        <v>0</v>
      </c>
    </row>
    <row r="47" spans="1:15" x14ac:dyDescent="0.25">
      <c r="A47" s="57" t="str">
        <f>isospec!A14</f>
        <v>Rn-222</v>
      </c>
      <c r="B47" s="122"/>
      <c r="C47" s="123"/>
      <c r="D47" s="124"/>
      <c r="E47" s="95"/>
      <c r="F47" s="96"/>
      <c r="G47" s="95"/>
      <c r="H47" s="96"/>
      <c r="I47" s="84"/>
      <c r="J47" s="85"/>
      <c r="K47" s="86"/>
      <c r="L47" s="84"/>
      <c r="M47" s="85"/>
      <c r="N47" s="95"/>
      <c r="O47" s="100"/>
    </row>
    <row r="48" spans="1:15" x14ac:dyDescent="0.25">
      <c r="A48" s="57" t="str">
        <f>isospec!A14</f>
        <v>Rn-222</v>
      </c>
      <c r="B48" s="75">
        <v>5</v>
      </c>
      <c r="C48" s="71">
        <f>IFERROR(B48*((s_Aeq_Feq!D14*1)/100),".")</f>
        <v>1.73966222E-2</v>
      </c>
      <c r="D48" s="77">
        <f>IFERROR((B48/1000)*((s_Aeq_Feq!D14*1)/100),".")</f>
        <v>1.7396622200000002E-5</v>
      </c>
      <c r="E48" s="70">
        <f>IFERROR(B48*(s_AFgw*1000*s_isospec!$M14),".")</f>
        <v>43.33037685266742</v>
      </c>
      <c r="F48" s="71">
        <f>IFERROR((E48/1000)*((s_Aeq_Feq!D14*1)/100),".")</f>
        <v>1.5076043917789604E-4</v>
      </c>
      <c r="G48" s="70">
        <f>B$48*s_AFss</f>
        <v>0.25</v>
      </c>
      <c r="H48" s="71">
        <f>IFERROR((G48/1000)*((s_Aeq_Feq!D14*1)/100),".")</f>
        <v>8.6983111000000011E-7</v>
      </c>
      <c r="I48" s="75">
        <v>5</v>
      </c>
      <c r="J48" s="71">
        <f>IFERROR(I48*((s_Aeq_Feq!D14*1)/100),".")</f>
        <v>1.73966222E-2</v>
      </c>
      <c r="K48" s="72">
        <f>IFERROR((I48/1000)*((s_Aeq_Feq!D14*1)/100),".")</f>
        <v>1.7396622200000002E-5</v>
      </c>
      <c r="L48" s="70">
        <f>IFERROR(I48*(s_AFgw*1000*s_isospec!$M14),".")</f>
        <v>43.33037685266742</v>
      </c>
      <c r="M48" s="71">
        <f>IFERROR((L48/1000)*((s_Aeq_Feq!D14*1)/100),".")</f>
        <v>1.5076043917789604E-4</v>
      </c>
      <c r="N48" s="70">
        <f>I$48*s_AFss</f>
        <v>0.25</v>
      </c>
      <c r="O48" s="101">
        <f>IFERROR((N48/1000)*((s_Aeq_Feq!D14*1)/100),".")</f>
        <v>8.6983111000000011E-7</v>
      </c>
    </row>
    <row r="49" spans="1:15" x14ac:dyDescent="0.25">
      <c r="A49" s="57" t="str">
        <f>isospec!A15</f>
        <v>Rn-222~At-218</v>
      </c>
      <c r="B49" s="70">
        <f>B$48*s_Aeq_Feq!$B15</f>
        <v>7.2499999999999995E-4</v>
      </c>
      <c r="C49" s="71">
        <f>IFERROR(B49*((s_Aeq_Feq!D15*1)/162),".")</f>
        <v>0</v>
      </c>
      <c r="D49" s="72">
        <f>IFERROR((B49/1000)*((s_Aeq_Feq!D15*1)/100),".")</f>
        <v>0</v>
      </c>
      <c r="E49" s="70">
        <f>E$48*s_Aeq_Feq!$B15</f>
        <v>6.2829046436367764E-3</v>
      </c>
      <c r="F49" s="71">
        <f>IFERROR((E49/1000)*((s_Aeq_Feq!D15*1)/100),".")</f>
        <v>0</v>
      </c>
      <c r="G49" s="70">
        <f>G$48*s_Aeq_Feq!$B15</f>
        <v>3.625E-5</v>
      </c>
      <c r="H49" s="71">
        <f>IFERROR((G49/1000)*((s_Aeq_Feq!D15*1)/100),".")</f>
        <v>0</v>
      </c>
      <c r="I49" s="70">
        <f>I$48*s_Aeq_Feq!$B15</f>
        <v>7.2499999999999995E-4</v>
      </c>
      <c r="J49" s="71">
        <f>IFERROR(I49*((s_Aeq_Feq!D15*1)/100),".")</f>
        <v>0</v>
      </c>
      <c r="K49" s="72">
        <f>IFERROR((I49/1000)*((s_Aeq_Feq!D15*1)/100),".")</f>
        <v>0</v>
      </c>
      <c r="L49" s="70">
        <f>L$48*s_Aeq_Feq!$B15</f>
        <v>6.2829046436367764E-3</v>
      </c>
      <c r="M49" s="71">
        <f>IFERROR((L49/1000)*((s_Aeq_Feq!D15*1)/100),".")</f>
        <v>0</v>
      </c>
      <c r="N49" s="70">
        <f>N$48*s_Aeq_Feq!$B15</f>
        <v>3.625E-5</v>
      </c>
      <c r="O49" s="101">
        <f>IFERROR((N49/1000)*((s_Aeq_Feq!D15*1)/100),".")</f>
        <v>0</v>
      </c>
    </row>
    <row r="50" spans="1:15" x14ac:dyDescent="0.25">
      <c r="A50" s="57" t="str">
        <f>isospec!A17</f>
        <v>Rn-222~Bi-214</v>
      </c>
      <c r="B50" s="70">
        <f>B$48*s_Aeq_Feq!$B16</f>
        <v>0</v>
      </c>
      <c r="C50" s="71">
        <f>IFERROR(B50*((s_Aeq_Feq!D16*1)/162),".")</f>
        <v>0</v>
      </c>
      <c r="D50" s="72">
        <f>IFERROR((B50/1000)*((s_Aeq_Feq!D16*1)/100),".")</f>
        <v>0</v>
      </c>
      <c r="E50" s="70">
        <f>E$48*s_Aeq_Feq!$B16</f>
        <v>0</v>
      </c>
      <c r="F50" s="71">
        <f>IFERROR((E50/1000)*((s_Aeq_Feq!D16*1)/100),".")</f>
        <v>0</v>
      </c>
      <c r="G50" s="70">
        <f>G$48*s_Aeq_Feq!$B16</f>
        <v>0</v>
      </c>
      <c r="H50" s="71">
        <f>IFERROR((G50/1000)*((s_Aeq_Feq!D16*1)/100),".")</f>
        <v>0</v>
      </c>
      <c r="I50" s="70">
        <f>I$48*s_Aeq_Feq!$B16</f>
        <v>0</v>
      </c>
      <c r="J50" s="71">
        <f>IFERROR(I50*((s_Aeq_Feq!D16*1)/100),".")</f>
        <v>0</v>
      </c>
      <c r="K50" s="72">
        <f>IFERROR((I50/1000)*((s_Aeq_Feq!D16*1)/100),".")</f>
        <v>0</v>
      </c>
      <c r="L50" s="70">
        <f>L$48*s_Aeq_Feq!$B16</f>
        <v>0</v>
      </c>
      <c r="M50" s="71">
        <f>IFERROR((L50/1000)*((s_Aeq_Feq!D16*1)/100),".")</f>
        <v>0</v>
      </c>
      <c r="N50" s="70">
        <f>N$48*s_Aeq_Feq!$B16</f>
        <v>0</v>
      </c>
      <c r="O50" s="101">
        <f>IFERROR((N50/1000)*((s_Aeq_Feq!D16*1)/100),".")</f>
        <v>0</v>
      </c>
    </row>
    <row r="51" spans="1:15" x14ac:dyDescent="0.25">
      <c r="A51" s="57" t="str">
        <f>isospec!A20</f>
        <v>Rn-222~Pb-214</v>
      </c>
      <c r="B51" s="70">
        <f>B$48*s_Aeq_Feq!$B17</f>
        <v>0.2545</v>
      </c>
      <c r="C51" s="71">
        <f>IFERROR(B51*((s_Aeq_Feq!D17*1)/162),".")</f>
        <v>0</v>
      </c>
      <c r="D51" s="72">
        <f>IFERROR((B51/1000)*((s_Aeq_Feq!D17*1)/100),".")</f>
        <v>0</v>
      </c>
      <c r="E51" s="70">
        <f>E$48*s_Aeq_Feq!$B17</f>
        <v>2.2055161818007716</v>
      </c>
      <c r="F51" s="71">
        <f>IFERROR((E51/1000)*((s_Aeq_Feq!D17*1)/100),".")</f>
        <v>0</v>
      </c>
      <c r="G51" s="70">
        <f>G$48*s_Aeq_Feq!$B17</f>
        <v>1.2725E-2</v>
      </c>
      <c r="H51" s="71">
        <f>IFERROR((G51/1000)*((s_Aeq_Feq!D17*1)/100),".")</f>
        <v>0</v>
      </c>
      <c r="I51" s="70">
        <f>I$48*s_Aeq_Feq!$B17</f>
        <v>0.2545</v>
      </c>
      <c r="J51" s="71">
        <f>IFERROR(I51*((s_Aeq_Feq!D17*1)/100),".")</f>
        <v>0</v>
      </c>
      <c r="K51" s="72">
        <f>IFERROR((I51/1000)*((s_Aeq_Feq!D17*1)/100),".")</f>
        <v>0</v>
      </c>
      <c r="L51" s="70">
        <f>L$48*s_Aeq_Feq!$B17</f>
        <v>2.2055161818007716</v>
      </c>
      <c r="M51" s="71">
        <f>IFERROR((L51/1000)*((s_Aeq_Feq!D17*1)/100),".")</f>
        <v>0</v>
      </c>
      <c r="N51" s="70">
        <f>N$48*s_Aeq_Feq!$B17</f>
        <v>1.2725E-2</v>
      </c>
      <c r="O51" s="101">
        <f>IFERROR((N51/1000)*((s_Aeq_Feq!D17*1)/100),".")</f>
        <v>0</v>
      </c>
    </row>
    <row r="52" spans="1:15" x14ac:dyDescent="0.25">
      <c r="A52" s="57" t="str">
        <f>isospec!A22</f>
        <v>Rn-222~Po-214</v>
      </c>
      <c r="B52" s="70">
        <f>B$48*s_Aeq_Feq!$B18</f>
        <v>0</v>
      </c>
      <c r="C52" s="71">
        <f>IFERROR(B52*((s_Aeq_Feq!D18*1)/162),".")</f>
        <v>0</v>
      </c>
      <c r="D52" s="72">
        <f>IFERROR((B52/1000)*((s_Aeq_Feq!D18*1)/100),".")</f>
        <v>0</v>
      </c>
      <c r="E52" s="70">
        <f>E$48*s_Aeq_Feq!$B18</f>
        <v>0</v>
      </c>
      <c r="F52" s="71">
        <f>IFERROR((E52/1000)*((s_Aeq_Feq!D18*1)/100),".")</f>
        <v>0</v>
      </c>
      <c r="G52" s="70">
        <f>G$48*s_Aeq_Feq!$B18</f>
        <v>0</v>
      </c>
      <c r="H52" s="71">
        <f>IFERROR((G52/1000)*((s_Aeq_Feq!D18*1)/100),".")</f>
        <v>0</v>
      </c>
      <c r="I52" s="70">
        <f>I$48*s_Aeq_Feq!$B18</f>
        <v>0</v>
      </c>
      <c r="J52" s="71">
        <f>IFERROR(I52*((s_Aeq_Feq!D18*1)/100),".")</f>
        <v>0</v>
      </c>
      <c r="K52" s="72">
        <f>IFERROR((I52/1000)*((s_Aeq_Feq!D18*1)/100),".")</f>
        <v>0</v>
      </c>
      <c r="L52" s="70">
        <f>L$48*s_Aeq_Feq!$B18</f>
        <v>0</v>
      </c>
      <c r="M52" s="71">
        <f>IFERROR((L52/1000)*((s_Aeq_Feq!D18*1)/100),".")</f>
        <v>0</v>
      </c>
      <c r="N52" s="70">
        <f>N$48*s_Aeq_Feq!$B18</f>
        <v>0</v>
      </c>
      <c r="O52" s="101">
        <f>IFERROR((N52/1000)*((s_Aeq_Feq!D18*1)/100),".")</f>
        <v>0</v>
      </c>
    </row>
    <row r="53" spans="1:15" x14ac:dyDescent="0.25">
      <c r="A53" s="57" t="str">
        <f>isospec!A23</f>
        <v>Rn-222~Po-218</v>
      </c>
      <c r="B53" s="70">
        <f>B$48*s_Aeq_Feq!$B19</f>
        <v>0</v>
      </c>
      <c r="C53" s="71">
        <f>IFERROR(B53*((s_Aeq_Feq!D19*1)/162),".")</f>
        <v>0</v>
      </c>
      <c r="D53" s="72">
        <f>IFERROR((B53/1000)*((s_Aeq_Feq!D19*1)/100),".")</f>
        <v>0</v>
      </c>
      <c r="E53" s="70">
        <f>E$48*s_Aeq_Feq!$B19</f>
        <v>0</v>
      </c>
      <c r="F53" s="71">
        <f>IFERROR((E53/1000)*((s_Aeq_Feq!D19*1)/100),".")</f>
        <v>0</v>
      </c>
      <c r="G53" s="70">
        <f>G$48*s_Aeq_Feq!$B19</f>
        <v>0</v>
      </c>
      <c r="H53" s="71">
        <f>IFERROR((G53/1000)*((s_Aeq_Feq!D19*1)/100),".")</f>
        <v>0</v>
      </c>
      <c r="I53" s="70">
        <f>I$48*s_Aeq_Feq!$B19</f>
        <v>0</v>
      </c>
      <c r="J53" s="71">
        <f>IFERROR(I53*((s_Aeq_Feq!D19*1)/100),".")</f>
        <v>0</v>
      </c>
      <c r="K53" s="72">
        <f>IFERROR((I53/1000)*((s_Aeq_Feq!D19*1)/100),".")</f>
        <v>0</v>
      </c>
      <c r="L53" s="70">
        <f>L$48*s_Aeq_Feq!$B19</f>
        <v>0</v>
      </c>
      <c r="M53" s="71">
        <f>IFERROR((L53/1000)*((s_Aeq_Feq!D19*1)/100),".")</f>
        <v>0</v>
      </c>
      <c r="N53" s="70">
        <f>N$48*s_Aeq_Feq!$B19</f>
        <v>0</v>
      </c>
      <c r="O53" s="101">
        <f>IFERROR((N53/1000)*((s_Aeq_Feq!D19*1)/100),".")</f>
        <v>0</v>
      </c>
    </row>
    <row r="54" spans="1:15" x14ac:dyDescent="0.25">
      <c r="A54" s="57" t="str">
        <f>isospec!A24</f>
        <v>Rn-222~Rn-218</v>
      </c>
      <c r="B54" s="70">
        <f>B$48*s_Aeq_Feq!$B20</f>
        <v>0.86499999999999999</v>
      </c>
      <c r="C54" s="71">
        <f>IFERROR(B54*((s_Aeq_Feq!D20*1)/162),".")</f>
        <v>0</v>
      </c>
      <c r="D54" s="72">
        <f>IFERROR((B54/1000)*((s_Aeq_Feq!D20*1)/100),".")</f>
        <v>0</v>
      </c>
      <c r="E54" s="70">
        <f>E$48*s_Aeq_Feq!$B20</f>
        <v>7.4961551955114629</v>
      </c>
      <c r="F54" s="71">
        <f>IFERROR((E54/1000)*((s_Aeq_Feq!D20*1)/100),".")</f>
        <v>0</v>
      </c>
      <c r="G54" s="70">
        <f>G$48*s_Aeq_Feq!$B20</f>
        <v>4.3249999999999997E-2</v>
      </c>
      <c r="H54" s="71">
        <f>IFERROR((G54/1000)*((s_Aeq_Feq!D20*1)/100),".")</f>
        <v>0</v>
      </c>
      <c r="I54" s="70">
        <f>I$48*s_Aeq_Feq!$B20</f>
        <v>0.86499999999999999</v>
      </c>
      <c r="J54" s="71">
        <f>IFERROR(I54*((s_Aeq_Feq!D20*1)/100),".")</f>
        <v>0</v>
      </c>
      <c r="K54" s="74">
        <f>IFERROR((I54/1000)*((s_Aeq_Feq!D20*1)/100),".")</f>
        <v>0</v>
      </c>
      <c r="L54" s="70">
        <f>L$48*s_Aeq_Feq!$B20</f>
        <v>7.4961551955114629</v>
      </c>
      <c r="M54" s="71">
        <f>IFERROR((L54/1000)*((s_Aeq_Feq!D20*1)/100),".")</f>
        <v>0</v>
      </c>
      <c r="N54" s="70">
        <f>N$48*s_Aeq_Feq!$B20</f>
        <v>4.3249999999999997E-2</v>
      </c>
      <c r="O54" s="101">
        <f>IFERROR((N54/1000)*((s_Aeq_Feq!D20*1)/100),".")</f>
        <v>0</v>
      </c>
    </row>
    <row r="55" spans="1:15" ht="15.75" thickBot="1" x14ac:dyDescent="0.3">
      <c r="A55" s="57" t="str">
        <f>isospec!A26</f>
        <v>Rn-222~Tl-210</v>
      </c>
      <c r="B55" s="79">
        <f>B$48*s_Aeq_Feq!$B21</f>
        <v>0</v>
      </c>
      <c r="C55" s="80">
        <f>IFERROR(B55*((s_Aeq_Feq!D21*1)/162),".")</f>
        <v>0</v>
      </c>
      <c r="D55" s="81">
        <f>IFERROR((B55/1000)*((s_Aeq_Feq!D21*1)/100),".")</f>
        <v>0</v>
      </c>
      <c r="E55" s="79">
        <f>E$48*s_Aeq_Feq!$B21</f>
        <v>0</v>
      </c>
      <c r="F55" s="97">
        <f>IFERROR((E55/1000)*((s_Aeq_Feq!D21*1)/100),".")</f>
        <v>0</v>
      </c>
      <c r="G55" s="79">
        <f>G$48*s_Aeq_Feq!$B21</f>
        <v>0</v>
      </c>
      <c r="H55" s="80">
        <f>IFERROR((G55/1000)*((s_Aeq_Feq!D21*1)/100),".")</f>
        <v>0</v>
      </c>
      <c r="I55" s="79">
        <f>I$48*s_Aeq_Feq!$B21</f>
        <v>0</v>
      </c>
      <c r="J55" s="80">
        <f>IFERROR(I55*((s_Aeq_Feq!D21*1)/100),".")</f>
        <v>0</v>
      </c>
      <c r="K55" s="83">
        <f>IFERROR((I55/1000)*((s_Aeq_Feq!D21*1)/100),".")</f>
        <v>0</v>
      </c>
      <c r="L55" s="79">
        <f>L$48*s_Aeq_Feq!$B21</f>
        <v>0</v>
      </c>
      <c r="M55" s="80">
        <f>IFERROR((L55/1000)*((s_Aeq_Feq!D21*1)/100),".")</f>
        <v>0</v>
      </c>
      <c r="N55" s="79">
        <f>N$48*s_Aeq_Feq!$B21</f>
        <v>0</v>
      </c>
      <c r="O55" s="97">
        <f>IFERROR((N55/1000)*((s_Aeq_Feq!D21*1)/100),".")</f>
        <v>0</v>
      </c>
    </row>
    <row r="57" spans="1:15" x14ac:dyDescent="0.25">
      <c r="D57" s="56"/>
      <c r="E57" s="56"/>
    </row>
    <row r="58" spans="1:15" x14ac:dyDescent="0.25">
      <c r="D58" s="56"/>
      <c r="E58" s="56"/>
    </row>
    <row r="60" spans="1:15" x14ac:dyDescent="0.25">
      <c r="D60" s="56"/>
      <c r="E60" s="56"/>
    </row>
    <row r="61" spans="1:15" x14ac:dyDescent="0.25">
      <c r="D61" s="56"/>
      <c r="E61" s="56"/>
    </row>
    <row r="62" spans="1:15" x14ac:dyDescent="0.25">
      <c r="D62" s="56"/>
      <c r="E62" s="56"/>
    </row>
    <row r="63" spans="1:15" x14ac:dyDescent="0.25">
      <c r="D63" s="56"/>
      <c r="E63" s="56"/>
    </row>
  </sheetData>
  <sheetProtection algorithmName="SHA-512" hashValue="e3xwNzdql380Q8o7setQ0+8yIVZAZp+E401yB6W6kei0Icgqw0OopHLupB/UYe8VQFkAySKITT8apc6i0nAMFQ==" saltValue="kACa60puutKN4CrhUXRyWw==" spinCount="100000" sheet="1" objects="1" scenarios="1"/>
  <mergeCells count="11">
    <mergeCell ref="B40:D40"/>
    <mergeCell ref="B47:D47"/>
    <mergeCell ref="B33:D33"/>
    <mergeCell ref="B31:B32"/>
    <mergeCell ref="E31:E32"/>
    <mergeCell ref="I31:I32"/>
    <mergeCell ref="G31:G32"/>
    <mergeCell ref="L31:L32"/>
    <mergeCell ref="N31:N32"/>
    <mergeCell ref="B30:H30"/>
    <mergeCell ref="I30:O30"/>
  </mergeCell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4C8A-1692-4835-96DB-22C0C45E3B90}">
  <dimension ref="A1:O63"/>
  <sheetViews>
    <sheetView workbookViewId="0">
      <pane xSplit="1" topLeftCell="B1" activePane="topRight" state="frozen"/>
      <selection activeCell="N3" sqref="N3"/>
      <selection pane="topRight" activeCell="B1" sqref="B1"/>
    </sheetView>
  </sheetViews>
  <sheetFormatPr defaultColWidth="9" defaultRowHeight="15" x14ac:dyDescent="0.25"/>
  <cols>
    <col min="1" max="1" width="17.7109375" style="40" bestFit="1" customWidth="1"/>
    <col min="2" max="2" width="10.85546875" style="40" bestFit="1" customWidth="1"/>
    <col min="3" max="3" width="9.7109375" style="40" bestFit="1" customWidth="1"/>
    <col min="4" max="4" width="11.7109375" style="40" bestFit="1" customWidth="1"/>
    <col min="5" max="5" width="9.28515625" style="40" bestFit="1" customWidth="1"/>
    <col min="6" max="6" width="9.7109375" style="40" bestFit="1" customWidth="1"/>
    <col min="7" max="7" width="8.28515625" style="40" bestFit="1" customWidth="1"/>
    <col min="8" max="8" width="11.7109375" style="40" bestFit="1" customWidth="1"/>
    <col min="9" max="9" width="11.85546875" style="40" bestFit="1" customWidth="1"/>
    <col min="10" max="10" width="10" style="40" bestFit="1" customWidth="1"/>
    <col min="11" max="11" width="12.140625" style="40" bestFit="1" customWidth="1"/>
    <col min="12" max="12" width="10.28515625" style="40" bestFit="1" customWidth="1"/>
    <col min="13" max="13" width="9.7109375" style="40" bestFit="1" customWidth="1"/>
    <col min="14" max="14" width="8.28515625" style="40" bestFit="1" customWidth="1"/>
    <col min="15" max="15" width="11.7109375" style="40" bestFit="1" customWidth="1"/>
    <col min="16" max="16" width="8.5703125" style="40" bestFit="1" customWidth="1"/>
    <col min="17" max="19" width="8.85546875" style="40" bestFit="1" customWidth="1"/>
    <col min="20" max="20" width="15.42578125" style="40" bestFit="1" customWidth="1"/>
    <col min="21" max="21" width="13.5703125" style="40" bestFit="1" customWidth="1"/>
    <col min="22" max="22" width="9.140625" style="40" bestFit="1" customWidth="1"/>
    <col min="23" max="23" width="12.28515625" style="40" bestFit="1" customWidth="1"/>
    <col min="24" max="24" width="10.425781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29" width="9.140625" style="40" bestFit="1" customWidth="1"/>
    <col min="30" max="31" width="8.85546875" style="40" bestFit="1" customWidth="1"/>
    <col min="32" max="34" width="8.5703125" style="40" bestFit="1" customWidth="1"/>
    <col min="35" max="37" width="8.85546875" style="40" bestFit="1" customWidth="1"/>
    <col min="38" max="16384" width="9" style="40"/>
  </cols>
  <sheetData>
    <row r="1" spans="1:13" x14ac:dyDescent="0.25">
      <c r="A1" s="57" t="s">
        <v>158</v>
      </c>
      <c r="B1" s="58" t="s">
        <v>136</v>
      </c>
      <c r="C1" s="58" t="s">
        <v>137</v>
      </c>
      <c r="D1" s="58" t="s">
        <v>149</v>
      </c>
      <c r="E1" s="58" t="s">
        <v>150</v>
      </c>
      <c r="F1" s="58" t="s">
        <v>25</v>
      </c>
      <c r="I1" s="61" t="s">
        <v>188</v>
      </c>
      <c r="J1" s="61" t="s">
        <v>189</v>
      </c>
      <c r="K1" s="61" t="s">
        <v>147</v>
      </c>
      <c r="L1" s="61" t="s">
        <v>148</v>
      </c>
      <c r="M1" s="61" t="s">
        <v>139</v>
      </c>
    </row>
    <row r="2" spans="1:13" x14ac:dyDescent="0.25">
      <c r="A2" s="57" t="str">
        <f>isospec!A2</f>
        <v>Rn-219</v>
      </c>
      <c r="B2" s="59">
        <f>1/(1/B3)</f>
        <v>54405.928800787937</v>
      </c>
      <c r="C2" s="59">
        <f>1/(1/C3)</f>
        <v>54.405928800787954</v>
      </c>
      <c r="D2" s="59">
        <f>B2/s_AFss</f>
        <v>1088118.5760157586</v>
      </c>
      <c r="E2" s="59">
        <f>(B2/s_AFss)/1000</f>
        <v>1088.1185760157587</v>
      </c>
      <c r="F2" s="59">
        <f>IFERROR(B2/(s_AFgw*1000*up_isospec!M2),0)</f>
        <v>128.65492974289157</v>
      </c>
      <c r="I2" s="59">
        <f>1/(1/I3)</f>
        <v>54405.928800787937</v>
      </c>
      <c r="J2" s="59">
        <f>1/(1/J3)</f>
        <v>54.405928800787954</v>
      </c>
      <c r="K2" s="59">
        <f>I2/s_AFss</f>
        <v>1088118.5760157586</v>
      </c>
      <c r="L2" s="59">
        <f>(I2/s_AFss)/1000</f>
        <v>1088.1185760157587</v>
      </c>
      <c r="M2" s="59">
        <f>IFERROR(I2/(s_AFgw*1000*up_isospec!M2),0)</f>
        <v>128.65492974289157</v>
      </c>
    </row>
    <row r="3" spans="1:13" x14ac:dyDescent="0.25">
      <c r="A3" s="57" t="str">
        <f>isospec!A2</f>
        <v>Rn-219</v>
      </c>
      <c r="B3" s="60">
        <f>C3*1000</f>
        <v>54405.928800787944</v>
      </c>
      <c r="C3" s="60">
        <f>IFERROR(s_WL/((s_Aeq_Feq!D2*1)/162),0)</f>
        <v>54.405928800787947</v>
      </c>
      <c r="D3" s="60"/>
      <c r="E3" s="60"/>
      <c r="F3" s="60"/>
      <c r="I3" s="60">
        <f>J3*1000</f>
        <v>54405.928800787944</v>
      </c>
      <c r="J3" s="60">
        <f>IFERROR(s_WL/((s_Aeq_Feq!F2*1)/162),0)</f>
        <v>54.405928800787947</v>
      </c>
      <c r="K3" s="60"/>
      <c r="L3" s="60"/>
      <c r="M3" s="60"/>
    </row>
    <row r="4" spans="1:13" x14ac:dyDescent="0.25">
      <c r="A4" s="57" t="str">
        <f>isospec!A3</f>
        <v>Rn-219~Bi-211</v>
      </c>
      <c r="B4" s="60">
        <f t="shared" ref="B4:B8" si="0">C4*1000</f>
        <v>0</v>
      </c>
      <c r="C4" s="60">
        <f>IFERROR(s_WL/((s_Aeq_Feq!D3*1)/162),0)</f>
        <v>0</v>
      </c>
      <c r="D4" s="60"/>
      <c r="E4" s="60"/>
      <c r="F4" s="60"/>
      <c r="I4" s="60">
        <f t="shared" ref="I4:I8" si="1">J4*1000</f>
        <v>0</v>
      </c>
      <c r="J4" s="60">
        <f>IFERROR(s_WL/((s_Aeq_Feq!F3*1)/162),0)</f>
        <v>0</v>
      </c>
      <c r="K4" s="60"/>
      <c r="L4" s="60"/>
      <c r="M4" s="60"/>
    </row>
    <row r="5" spans="1:13" x14ac:dyDescent="0.25">
      <c r="A5" s="57" t="str">
        <f>isospec!A4</f>
        <v>Rn-219~Pb-211</v>
      </c>
      <c r="B5" s="60">
        <f t="shared" si="0"/>
        <v>0</v>
      </c>
      <c r="C5" s="60">
        <f>IFERROR(s_WL/((s_Aeq_Feq!D4*1)/162),0)</f>
        <v>0</v>
      </c>
      <c r="D5" s="60"/>
      <c r="E5" s="60"/>
      <c r="F5" s="60"/>
      <c r="I5" s="60">
        <f t="shared" si="1"/>
        <v>0</v>
      </c>
      <c r="J5" s="60">
        <f>IFERROR(s_WL/((s_Aeq_Feq!F4*1)/162),0)</f>
        <v>0</v>
      </c>
      <c r="K5" s="60"/>
      <c r="L5" s="60"/>
      <c r="M5" s="60"/>
    </row>
    <row r="6" spans="1:13" x14ac:dyDescent="0.25">
      <c r="A6" s="57" t="str">
        <f>isospec!A5</f>
        <v>Rn-219~Po-211</v>
      </c>
      <c r="B6" s="60">
        <f t="shared" si="0"/>
        <v>0</v>
      </c>
      <c r="C6" s="60">
        <f>IFERROR(s_WL/((s_Aeq_Feq!D5*1)/162),0)</f>
        <v>0</v>
      </c>
      <c r="D6" s="60"/>
      <c r="E6" s="60"/>
      <c r="F6" s="60"/>
      <c r="I6" s="60">
        <f t="shared" si="1"/>
        <v>0</v>
      </c>
      <c r="J6" s="60">
        <f>IFERROR(s_WL/((s_Aeq_Feq!F5*1)/162),0)</f>
        <v>0</v>
      </c>
      <c r="K6" s="60"/>
      <c r="L6" s="60"/>
      <c r="M6" s="60"/>
    </row>
    <row r="7" spans="1:13" x14ac:dyDescent="0.25">
      <c r="A7" s="57" t="str">
        <f>isospec!A6</f>
        <v>Rn-219~Po-215</v>
      </c>
      <c r="B7" s="60">
        <f t="shared" si="0"/>
        <v>0</v>
      </c>
      <c r="C7" s="60">
        <f>IFERROR(s_WL/((s_Aeq_Feq!D6*1)/162),0)</f>
        <v>0</v>
      </c>
      <c r="D7" s="60"/>
      <c r="E7" s="60"/>
      <c r="F7" s="60"/>
      <c r="I7" s="60">
        <f t="shared" si="1"/>
        <v>0</v>
      </c>
      <c r="J7" s="60">
        <f>IFERROR(s_WL/((s_Aeq_Feq!F6*1)/162),0)</f>
        <v>0</v>
      </c>
      <c r="K7" s="60"/>
      <c r="L7" s="60"/>
      <c r="M7" s="60"/>
    </row>
    <row r="8" spans="1:13" x14ac:dyDescent="0.25">
      <c r="A8" s="57" t="str">
        <f>isospec!A7</f>
        <v>Rn-219~Tl-207</v>
      </c>
      <c r="B8" s="60">
        <f t="shared" si="0"/>
        <v>0</v>
      </c>
      <c r="C8" s="60">
        <f>IFERROR(s_WL/((s_Aeq_Feq!D7*1)/162),0)</f>
        <v>0</v>
      </c>
      <c r="D8" s="60"/>
      <c r="E8" s="60"/>
      <c r="F8" s="60"/>
      <c r="I8" s="60">
        <f t="shared" si="1"/>
        <v>0</v>
      </c>
      <c r="J8" s="60">
        <f>IFERROR(s_WL/((s_Aeq_Feq!F7*1)/162),0)</f>
        <v>0</v>
      </c>
      <c r="K8" s="60"/>
      <c r="L8" s="60"/>
      <c r="M8" s="60"/>
    </row>
    <row r="9" spans="1:13" x14ac:dyDescent="0.25">
      <c r="A9" s="57" t="str">
        <f>isospec!A8</f>
        <v>Rn-220</v>
      </c>
      <c r="B9" s="59">
        <f>1/(1/B10)</f>
        <v>238672.90228795024</v>
      </c>
      <c r="C9" s="59">
        <f>1/(1/C10)</f>
        <v>238.67290228795028</v>
      </c>
      <c r="D9" s="59">
        <f>B9/s_AFss</f>
        <v>4773458.0457590045</v>
      </c>
      <c r="E9" s="59">
        <f>(B9/s_AFss)/1000</f>
        <v>4773.4580457590046</v>
      </c>
      <c r="F9" s="59">
        <f>IFERROR(B9/(s_AFgw*1000*up_isospec!M8),0)</f>
        <v>564.39520751171437</v>
      </c>
      <c r="I9" s="59">
        <f>1/(1/I10)</f>
        <v>238672.90228795024</v>
      </c>
      <c r="J9" s="59">
        <f>1/(1/J10)</f>
        <v>238.67290228795028</v>
      </c>
      <c r="K9" s="59">
        <f>I9/s_AFss</f>
        <v>4773458.0457590045</v>
      </c>
      <c r="L9" s="59">
        <f>(I9/s_AFss)/1000</f>
        <v>4773.4580457590046</v>
      </c>
      <c r="M9" s="59">
        <f>IFERROR(I9/(s_AFgw*1000*up_isospec!M8),0)</f>
        <v>564.39520751171437</v>
      </c>
    </row>
    <row r="10" spans="1:13" x14ac:dyDescent="0.25">
      <c r="A10" s="57" t="str">
        <f>isospec!A8</f>
        <v>Rn-220</v>
      </c>
      <c r="B10" s="60">
        <f>C10*1000</f>
        <v>238672.90228795027</v>
      </c>
      <c r="C10" s="60">
        <f>IFERROR(s_WL/((s_Aeq_Feq!D8*1)/7.5),0)</f>
        <v>238.67290228795028</v>
      </c>
      <c r="D10" s="60"/>
      <c r="E10" s="60"/>
      <c r="F10" s="60"/>
      <c r="I10" s="60">
        <f>J10*1000</f>
        <v>238672.90228795027</v>
      </c>
      <c r="J10" s="60">
        <f>IFERROR(s_WL/((s_Aeq_Feq!F8*1)/7.5),0)</f>
        <v>238.67290228795028</v>
      </c>
      <c r="K10" s="60"/>
      <c r="L10" s="60"/>
      <c r="M10" s="60"/>
    </row>
    <row r="11" spans="1:13" x14ac:dyDescent="0.25">
      <c r="A11" s="57" t="str">
        <f>isospec!A9</f>
        <v>Rn-220~Bi-212</v>
      </c>
      <c r="B11" s="60">
        <f t="shared" ref="B11:B15" si="2">C11*1000</f>
        <v>0</v>
      </c>
      <c r="C11" s="60">
        <f>IFERROR(s_WL/((s_Aeq_Feq!D9*1)/7.5),0)</f>
        <v>0</v>
      </c>
      <c r="D11" s="60"/>
      <c r="E11" s="60"/>
      <c r="F11" s="60"/>
      <c r="I11" s="60">
        <f t="shared" ref="I11:I15" si="3">J11*1000</f>
        <v>0</v>
      </c>
      <c r="J11" s="60">
        <f>IFERROR(s_WL/((s_Aeq_Feq!F9*1)/7.5),0)</f>
        <v>0</v>
      </c>
      <c r="K11" s="60"/>
      <c r="L11" s="60"/>
      <c r="M11" s="60"/>
    </row>
    <row r="12" spans="1:13" x14ac:dyDescent="0.25">
      <c r="A12" s="57" t="str">
        <f>isospec!A10</f>
        <v>Rn-220~Pb-212</v>
      </c>
      <c r="B12" s="60">
        <f t="shared" si="2"/>
        <v>0</v>
      </c>
      <c r="C12" s="60">
        <f>IFERROR(s_WL/((s_Aeq_Feq!D10*1)/7.5),0)</f>
        <v>0</v>
      </c>
      <c r="D12" s="60"/>
      <c r="E12" s="60"/>
      <c r="F12" s="60"/>
      <c r="I12" s="60">
        <f t="shared" si="3"/>
        <v>0</v>
      </c>
      <c r="J12" s="60">
        <f>IFERROR(s_WL/((s_Aeq_Feq!F10*1)/7.5),0)</f>
        <v>0</v>
      </c>
      <c r="K12" s="60"/>
      <c r="L12" s="60"/>
      <c r="M12" s="60"/>
    </row>
    <row r="13" spans="1:13" x14ac:dyDescent="0.25">
      <c r="A13" s="57" t="str">
        <f>isospec!A11</f>
        <v>Rn-220~Po-212</v>
      </c>
      <c r="B13" s="60">
        <f t="shared" si="2"/>
        <v>0</v>
      </c>
      <c r="C13" s="60">
        <f>IFERROR(s_WL/((s_Aeq_Feq!D11*1)/7.5),0)</f>
        <v>0</v>
      </c>
      <c r="D13" s="60"/>
      <c r="E13" s="60"/>
      <c r="F13" s="60"/>
      <c r="I13" s="60">
        <f t="shared" si="3"/>
        <v>0</v>
      </c>
      <c r="J13" s="60">
        <f>IFERROR(s_WL/((s_Aeq_Feq!F11*1)/7.5),0)</f>
        <v>0</v>
      </c>
      <c r="K13" s="60"/>
      <c r="L13" s="60"/>
      <c r="M13" s="60"/>
    </row>
    <row r="14" spans="1:13" x14ac:dyDescent="0.25">
      <c r="A14" s="57" t="str">
        <f>isospec!A12</f>
        <v>Rn-220~Po-216</v>
      </c>
      <c r="B14" s="60">
        <f t="shared" si="2"/>
        <v>0</v>
      </c>
      <c r="C14" s="60">
        <f>IFERROR(s_WL/((s_Aeq_Feq!D12*1)/7.5),0)</f>
        <v>0</v>
      </c>
      <c r="D14" s="60"/>
      <c r="E14" s="60"/>
      <c r="F14" s="60"/>
      <c r="I14" s="60">
        <f t="shared" si="3"/>
        <v>0</v>
      </c>
      <c r="J14" s="60">
        <f>IFERROR(s_WL/((s_Aeq_Feq!F12*1)/7.5),0)</f>
        <v>0</v>
      </c>
      <c r="K14" s="60"/>
      <c r="L14" s="60"/>
      <c r="M14" s="60"/>
    </row>
    <row r="15" spans="1:13" x14ac:dyDescent="0.25">
      <c r="A15" s="57" t="str">
        <f>isospec!A13</f>
        <v>Rn-220~Tl-208</v>
      </c>
      <c r="B15" s="60">
        <f t="shared" si="2"/>
        <v>0</v>
      </c>
      <c r="C15" s="60">
        <f>IFERROR(s_WL/((s_Aeq_Feq!D13*1)/7.5),0)</f>
        <v>0</v>
      </c>
      <c r="D15" s="60"/>
      <c r="E15" s="60"/>
      <c r="F15" s="60"/>
      <c r="I15" s="60">
        <f t="shared" si="3"/>
        <v>0</v>
      </c>
      <c r="J15" s="60">
        <f>IFERROR(s_WL/((s_Aeq_Feq!F13*1)/7.5),0)</f>
        <v>0</v>
      </c>
      <c r="K15" s="60"/>
      <c r="L15" s="60"/>
      <c r="M15" s="60"/>
    </row>
    <row r="16" spans="1:13" x14ac:dyDescent="0.25">
      <c r="A16" s="57" t="str">
        <f>isospec!A14</f>
        <v>Rn-222</v>
      </c>
      <c r="B16" s="59">
        <f>1/(1/B17)</f>
        <v>14370.605806453625</v>
      </c>
      <c r="C16" s="59">
        <f>1/(1/C17)</f>
        <v>14.370605806453623</v>
      </c>
      <c r="D16" s="59">
        <f>B16/s_AFss</f>
        <v>287412.1161290725</v>
      </c>
      <c r="E16" s="59">
        <f>(B16/s_AFss)/1000</f>
        <v>287.4121161290725</v>
      </c>
      <c r="F16" s="59">
        <f>IFERROR(B16/(s_AFgw*1000*up_isospec!M14),0)</f>
        <v>33.982496414348589</v>
      </c>
      <c r="I16" s="59">
        <f>1/(1/I17)</f>
        <v>14370.605806453625</v>
      </c>
      <c r="J16" s="59">
        <f>1/(1/J17)</f>
        <v>14.370605806453623</v>
      </c>
      <c r="K16" s="59">
        <f>I16/s_AFss</f>
        <v>287412.1161290725</v>
      </c>
      <c r="L16" s="59">
        <f>(I16/s_AFss)/1000</f>
        <v>287.4121161290725</v>
      </c>
      <c r="M16" s="59">
        <f>IFERROR(I16/(s_AFgw*1000*up_isospec!M14),0)</f>
        <v>33.982496414348589</v>
      </c>
    </row>
    <row r="17" spans="1:15" x14ac:dyDescent="0.25">
      <c r="A17" s="23" t="s">
        <v>1</v>
      </c>
      <c r="B17" s="60">
        <f>C17*1000</f>
        <v>14370.605806453623</v>
      </c>
      <c r="C17" s="60">
        <f>IFERROR(s_WL/((s_Aeq_Feq!D14*1)/100),0)</f>
        <v>14.370605806453623</v>
      </c>
      <c r="D17" s="60"/>
      <c r="E17" s="60"/>
      <c r="F17" s="60"/>
      <c r="I17" s="60">
        <f>J17*1000</f>
        <v>14370.605806453623</v>
      </c>
      <c r="J17" s="60">
        <f>IFERROR(s_WL/((s_Aeq_Feq!F14*1)/100),0)</f>
        <v>14.370605806453623</v>
      </c>
      <c r="K17" s="60"/>
      <c r="L17" s="60"/>
      <c r="M17" s="60"/>
    </row>
    <row r="18" spans="1:15" x14ac:dyDescent="0.25">
      <c r="A18" s="23" t="s">
        <v>108</v>
      </c>
      <c r="B18" s="60">
        <f t="shared" ref="B18" si="4">C18*1000</f>
        <v>0</v>
      </c>
      <c r="C18" s="60">
        <f>IFERROR(s_WL/((s_Aeq_Feq!D15*1)/100),0)</f>
        <v>0</v>
      </c>
      <c r="D18" s="60"/>
      <c r="E18" s="60"/>
      <c r="F18" s="60"/>
      <c r="I18" s="60">
        <f t="shared" ref="I18" si="5">J18*1000</f>
        <v>0</v>
      </c>
      <c r="J18" s="60">
        <f>IFERROR(s_WL/((s_Aeq_Feq!F15*1)/100),0)</f>
        <v>0</v>
      </c>
      <c r="K18" s="60"/>
      <c r="L18" s="60"/>
      <c r="M18" s="60"/>
    </row>
    <row r="19" spans="1:15" x14ac:dyDescent="0.25">
      <c r="A19" s="23" t="s">
        <v>173</v>
      </c>
      <c r="B19" s="60">
        <f t="shared" ref="B19:B29" si="6">C19*1000</f>
        <v>0</v>
      </c>
      <c r="C19" s="60">
        <f>IFERROR(s_WL/((s_Aeq_Feq!D16*1)/100),0)</f>
        <v>0</v>
      </c>
      <c r="D19" s="60"/>
      <c r="E19" s="60"/>
      <c r="F19" s="60"/>
      <c r="I19" s="60">
        <f t="shared" ref="I19:I29" si="7">J19*1000</f>
        <v>0</v>
      </c>
      <c r="J19" s="60">
        <f>IFERROR(s_WL/((s_Aeq_Feq!F16*1)/100),0)</f>
        <v>0</v>
      </c>
      <c r="K19" s="60"/>
      <c r="L19" s="60"/>
      <c r="M19" s="60"/>
    </row>
    <row r="20" spans="1:15" x14ac:dyDescent="0.25">
      <c r="A20" s="23" t="s">
        <v>109</v>
      </c>
      <c r="B20" s="60">
        <f t="shared" si="6"/>
        <v>0</v>
      </c>
      <c r="C20" s="60">
        <f>IFERROR(s_WL/((s_Aeq_Feq!D17*1)/100),0)</f>
        <v>0</v>
      </c>
      <c r="D20" s="60"/>
      <c r="E20" s="60"/>
      <c r="F20" s="60"/>
      <c r="I20" s="60">
        <f t="shared" si="7"/>
        <v>0</v>
      </c>
      <c r="J20" s="60">
        <f>IFERROR(s_WL/((s_Aeq_Feq!F17*1)/100),0)</f>
        <v>0</v>
      </c>
      <c r="K20" s="60"/>
      <c r="L20" s="60"/>
      <c r="M20" s="60"/>
    </row>
    <row r="21" spans="1:15" x14ac:dyDescent="0.25">
      <c r="A21" s="23" t="s">
        <v>174</v>
      </c>
      <c r="B21" s="60">
        <f t="shared" si="6"/>
        <v>0</v>
      </c>
      <c r="C21" s="60">
        <f>IFERROR(s_WL/((s_Aeq_Feq!D18*1)/100),0)</f>
        <v>0</v>
      </c>
      <c r="D21" s="60"/>
      <c r="E21" s="60"/>
      <c r="F21" s="60"/>
      <c r="I21" s="60">
        <f t="shared" si="7"/>
        <v>0</v>
      </c>
      <c r="J21" s="60">
        <f>IFERROR(s_WL/((s_Aeq_Feq!F18*1)/100),0)</f>
        <v>0</v>
      </c>
      <c r="K21" s="60"/>
      <c r="L21" s="60"/>
      <c r="M21" s="60"/>
    </row>
    <row r="22" spans="1:15" x14ac:dyDescent="0.25">
      <c r="A22" s="23" t="s">
        <v>175</v>
      </c>
      <c r="B22" s="60">
        <f t="shared" si="6"/>
        <v>0</v>
      </c>
      <c r="C22" s="60">
        <f>IFERROR(s_WL/((s_Aeq_Feq!D19*1)/100),0)</f>
        <v>0</v>
      </c>
      <c r="D22" s="60"/>
      <c r="E22" s="60"/>
      <c r="F22" s="60"/>
      <c r="I22" s="60">
        <f t="shared" si="7"/>
        <v>0</v>
      </c>
      <c r="J22" s="60">
        <f>IFERROR(s_WL/((s_Aeq_Feq!F19*1)/100),0)</f>
        <v>0</v>
      </c>
      <c r="K22" s="60"/>
      <c r="L22" s="60"/>
      <c r="M22" s="60"/>
    </row>
    <row r="23" spans="1:15" x14ac:dyDescent="0.25">
      <c r="A23" s="23" t="s">
        <v>107</v>
      </c>
      <c r="B23" s="60">
        <f t="shared" si="6"/>
        <v>0</v>
      </c>
      <c r="C23" s="60">
        <f>IFERROR(s_WL/((s_Aeq_Feq!D20*1)/100),0)</f>
        <v>0</v>
      </c>
      <c r="D23" s="60"/>
      <c r="E23" s="60"/>
      <c r="F23" s="60"/>
      <c r="I23" s="60">
        <f t="shared" si="7"/>
        <v>0</v>
      </c>
      <c r="J23" s="60">
        <f>IFERROR(s_WL/((s_Aeq_Feq!F20*1)/100),0)</f>
        <v>0</v>
      </c>
      <c r="K23" s="60"/>
      <c r="L23" s="60"/>
      <c r="M23" s="60"/>
    </row>
    <row r="24" spans="1:15" x14ac:dyDescent="0.25">
      <c r="A24" s="23" t="s">
        <v>176</v>
      </c>
      <c r="B24" s="60">
        <f t="shared" si="6"/>
        <v>0</v>
      </c>
      <c r="C24" s="60">
        <f>IFERROR(s_WL/((s_Aeq_Feq!D21*1)/100),0)</f>
        <v>0</v>
      </c>
      <c r="D24" s="60"/>
      <c r="E24" s="60"/>
      <c r="F24" s="60"/>
      <c r="I24" s="60">
        <f t="shared" si="7"/>
        <v>0</v>
      </c>
      <c r="J24" s="60">
        <f>IFERROR(s_WL/((s_Aeq_Feq!F21*1)/100),0)</f>
        <v>0</v>
      </c>
      <c r="K24" s="60"/>
      <c r="L24" s="60"/>
      <c r="M24" s="60"/>
    </row>
    <row r="25" spans="1:15" x14ac:dyDescent="0.25">
      <c r="A25" s="23" t="s">
        <v>111</v>
      </c>
      <c r="B25" s="60">
        <f t="shared" si="6"/>
        <v>0</v>
      </c>
      <c r="C25" s="60">
        <f>IFERROR(s_WL/((s_Aeq_Feq!D22*1)/100),0)</f>
        <v>0</v>
      </c>
      <c r="D25" s="60"/>
      <c r="E25" s="60"/>
      <c r="F25" s="60"/>
      <c r="I25" s="60">
        <f t="shared" si="7"/>
        <v>0</v>
      </c>
      <c r="J25" s="60">
        <f>IFERROR(s_WL/((s_Aeq_Feq!F22*1)/100),0)</f>
        <v>0</v>
      </c>
      <c r="K25" s="60"/>
      <c r="L25" s="60"/>
      <c r="M25" s="60"/>
    </row>
    <row r="26" spans="1:15" x14ac:dyDescent="0.25">
      <c r="A26" s="23" t="s">
        <v>106</v>
      </c>
      <c r="B26" s="60">
        <f t="shared" si="6"/>
        <v>0</v>
      </c>
      <c r="C26" s="60">
        <f>IFERROR(s_WL/((s_Aeq_Feq!D23*1)/100),0)</f>
        <v>0</v>
      </c>
      <c r="D26" s="60"/>
      <c r="E26" s="60"/>
      <c r="F26" s="60"/>
      <c r="I26" s="60">
        <f t="shared" si="7"/>
        <v>0</v>
      </c>
      <c r="J26" s="60">
        <f>IFERROR(s_WL/((s_Aeq_Feq!F23*1)/100),0)</f>
        <v>0</v>
      </c>
      <c r="K26" s="60"/>
      <c r="L26" s="60"/>
      <c r="M26" s="60"/>
    </row>
    <row r="27" spans="1:15" x14ac:dyDescent="0.25">
      <c r="A27" s="23" t="s">
        <v>110</v>
      </c>
      <c r="B27" s="60">
        <f t="shared" si="6"/>
        <v>0</v>
      </c>
      <c r="C27" s="60">
        <f>IFERROR(s_WL/((s_Aeq_Feq!D24*1)/100),0)</f>
        <v>0</v>
      </c>
      <c r="D27" s="60"/>
      <c r="E27" s="60"/>
      <c r="F27" s="60"/>
      <c r="I27" s="60">
        <f t="shared" si="7"/>
        <v>0</v>
      </c>
      <c r="J27" s="60">
        <f>IFERROR(s_WL/((s_Aeq_Feq!F24*1)/100),0)</f>
        <v>0</v>
      </c>
      <c r="K27" s="60"/>
      <c r="L27" s="60"/>
      <c r="M27" s="60"/>
    </row>
    <row r="28" spans="1:15" x14ac:dyDescent="0.25">
      <c r="A28" s="23" t="s">
        <v>177</v>
      </c>
      <c r="B28" s="60">
        <f t="shared" si="6"/>
        <v>0</v>
      </c>
      <c r="C28" s="60">
        <f>IFERROR(s_WL/((s_Aeq_Feq!D25*1)/100),0)</f>
        <v>0</v>
      </c>
      <c r="D28" s="60"/>
      <c r="E28" s="60"/>
      <c r="F28" s="60"/>
      <c r="I28" s="60">
        <f t="shared" si="7"/>
        <v>0</v>
      </c>
      <c r="J28" s="60">
        <f>IFERROR(s_WL/((s_Aeq_Feq!F25*1)/100),0)</f>
        <v>0</v>
      </c>
      <c r="K28" s="60"/>
      <c r="L28" s="60"/>
      <c r="M28" s="60"/>
    </row>
    <row r="29" spans="1:15" x14ac:dyDescent="0.25">
      <c r="A29" s="23" t="s">
        <v>112</v>
      </c>
      <c r="B29" s="60">
        <f t="shared" si="6"/>
        <v>0</v>
      </c>
      <c r="C29" s="60">
        <f>IFERROR(s_WL/((s_Aeq_Feq!D26*1)/100),0)</f>
        <v>0</v>
      </c>
      <c r="D29" s="60"/>
      <c r="E29" s="60"/>
      <c r="F29" s="60"/>
      <c r="I29" s="60">
        <f t="shared" si="7"/>
        <v>0</v>
      </c>
      <c r="J29" s="60">
        <f>IFERROR(s_WL/((s_Aeq_Feq!F26*1)/100),0)</f>
        <v>0</v>
      </c>
      <c r="K29" s="60"/>
      <c r="L29" s="60"/>
      <c r="M29" s="60"/>
    </row>
    <row r="30" spans="1:15" ht="19.5" thickBot="1" x14ac:dyDescent="0.35">
      <c r="A30" s="57"/>
      <c r="B30" s="116" t="s">
        <v>133</v>
      </c>
      <c r="C30" s="116"/>
      <c r="D30" s="116"/>
      <c r="E30" s="116"/>
      <c r="F30" s="116"/>
      <c r="G30" s="116"/>
      <c r="H30" s="116"/>
      <c r="I30" s="117" t="s">
        <v>134</v>
      </c>
      <c r="J30" s="117"/>
      <c r="K30" s="117"/>
      <c r="L30" s="117"/>
      <c r="M30" s="117"/>
      <c r="N30" s="117"/>
      <c r="O30" s="117"/>
    </row>
    <row r="31" spans="1:15" ht="16.5" customHeight="1" x14ac:dyDescent="0.25">
      <c r="A31" s="62" t="s">
        <v>81</v>
      </c>
      <c r="B31" s="110" t="s">
        <v>125</v>
      </c>
      <c r="C31" s="94" t="s">
        <v>171</v>
      </c>
      <c r="D31" s="94" t="s">
        <v>172</v>
      </c>
      <c r="E31" s="120" t="s">
        <v>151</v>
      </c>
      <c r="F31" s="94" t="s">
        <v>171</v>
      </c>
      <c r="G31" s="120" t="s">
        <v>152</v>
      </c>
      <c r="H31" s="94" t="s">
        <v>172</v>
      </c>
      <c r="I31" s="110" t="s">
        <v>125</v>
      </c>
      <c r="J31" s="94" t="s">
        <v>171</v>
      </c>
      <c r="K31" s="94" t="s">
        <v>172</v>
      </c>
      <c r="L31" s="120" t="s">
        <v>151</v>
      </c>
      <c r="M31" s="94" t="s">
        <v>171</v>
      </c>
      <c r="N31" s="120" t="s">
        <v>152</v>
      </c>
      <c r="O31" s="98" t="s">
        <v>172</v>
      </c>
    </row>
    <row r="32" spans="1:15" ht="16.5" customHeight="1" x14ac:dyDescent="0.25">
      <c r="A32" s="57" t="s">
        <v>77</v>
      </c>
      <c r="B32" s="111"/>
      <c r="C32" s="63" t="s">
        <v>120</v>
      </c>
      <c r="D32" s="64" t="s">
        <v>120</v>
      </c>
      <c r="E32" s="121"/>
      <c r="F32" s="63" t="s">
        <v>120</v>
      </c>
      <c r="G32" s="121"/>
      <c r="H32" s="63" t="s">
        <v>120</v>
      </c>
      <c r="I32" s="111"/>
      <c r="J32" s="63" t="s">
        <v>120</v>
      </c>
      <c r="K32" s="64" t="s">
        <v>120</v>
      </c>
      <c r="L32" s="121"/>
      <c r="M32" s="63" t="s">
        <v>120</v>
      </c>
      <c r="N32" s="121"/>
      <c r="O32" s="99" t="s">
        <v>120</v>
      </c>
    </row>
    <row r="33" spans="1:15" x14ac:dyDescent="0.25">
      <c r="A33" s="57" t="str">
        <f>isospec!A2</f>
        <v>Rn-219</v>
      </c>
      <c r="B33" s="122"/>
      <c r="C33" s="123"/>
      <c r="D33" s="124"/>
      <c r="E33" s="95"/>
      <c r="F33" s="96"/>
      <c r="G33" s="95"/>
      <c r="H33" s="96"/>
      <c r="I33" s="84"/>
      <c r="J33" s="85"/>
      <c r="K33" s="86"/>
      <c r="L33" s="84"/>
      <c r="M33" s="85"/>
      <c r="N33" s="95"/>
      <c r="O33" s="100"/>
    </row>
    <row r="34" spans="1:15" x14ac:dyDescent="0.25">
      <c r="A34" s="57" t="str">
        <f>isospec!A2</f>
        <v>Rn-219</v>
      </c>
      <c r="B34" s="70">
        <v>5</v>
      </c>
      <c r="C34" s="71">
        <f>IFERROR(B34*((s_Aeq_Feq!D2*1)/162),".")</f>
        <v>4.5950874382716051E-3</v>
      </c>
      <c r="D34" s="72">
        <f>IFERROR((B34/1000)*((s_Aeq_Feq!D2*1)/162),".")</f>
        <v>4.5950874382716052E-6</v>
      </c>
      <c r="E34" s="70">
        <f>IFERROR(B34*(s_AFgw*1000*up_isospec!$M2),".")</f>
        <v>2114.4129070496797</v>
      </c>
      <c r="F34" s="71">
        <f>IFERROR((E34/1000)*((s_Aeq_Feq!D2*1)/162),".")</f>
        <v>1.9431824377006658E-3</v>
      </c>
      <c r="G34" s="70">
        <f>B$34*s_AFss</f>
        <v>0.25</v>
      </c>
      <c r="H34" s="71">
        <f>IFERROR((G34/1000)*((s_Aeq_Feq!D2*1)/162),".")</f>
        <v>2.2975437191358025E-7</v>
      </c>
      <c r="I34" s="70">
        <v>5</v>
      </c>
      <c r="J34" s="71">
        <f>IFERROR(I34*((s_Aeq_Feq!D2*1)/162),".")</f>
        <v>4.5950874382716051E-3</v>
      </c>
      <c r="K34" s="72">
        <f>IFERROR((I34/1000)*((s_Aeq_Feq!D2*1)/162),".")</f>
        <v>4.5950874382716052E-6</v>
      </c>
      <c r="L34" s="70">
        <f>IFERROR(I34*(s_AFgw*1000*up_isospec!$M2),".")</f>
        <v>2114.4129070496797</v>
      </c>
      <c r="M34" s="71">
        <f>IFERROR((L34/1000)*((s_Aeq_Feq!D2*1)/162),".")</f>
        <v>1.9431824377006658E-3</v>
      </c>
      <c r="N34" s="70">
        <f>I$34*s_AFss</f>
        <v>0.25</v>
      </c>
      <c r="O34" s="101">
        <f>IFERROR((N34/1000)*((s_Aeq_Feq!D2*1)/162),".")</f>
        <v>2.2975437191358025E-7</v>
      </c>
    </row>
    <row r="35" spans="1:15" x14ac:dyDescent="0.25">
      <c r="A35" s="57" t="str">
        <f>isospec!A3</f>
        <v>Rn-219~Bi-211</v>
      </c>
      <c r="B35" s="70">
        <f>B$34*s_Aeq_Feq!$B3</f>
        <v>0.74399999999999999</v>
      </c>
      <c r="C35" s="71">
        <f>IFERROR(B35*((Aeq_Feq!D3*1)/162),".")</f>
        <v>0</v>
      </c>
      <c r="D35" s="72">
        <f>IFERROR((B35/1000)*((s_Aeq_Feq!D3*1)/162),".")</f>
        <v>0</v>
      </c>
      <c r="E35" s="70">
        <f>E$34*s_Aeq_Feq!$B3</f>
        <v>314.62464056899233</v>
      </c>
      <c r="F35" s="71">
        <f>IFERROR((E35/1000)*((s_Aeq_Feq!D3*1)/162),".")</f>
        <v>0</v>
      </c>
      <c r="G35" s="70">
        <f>G$34*s_Aeq_Feq!$B3</f>
        <v>3.7199999999999997E-2</v>
      </c>
      <c r="H35" s="71">
        <f>IFERROR((G35/1000)*((s_Aeq_Feq!D3*1)/162),".")</f>
        <v>0</v>
      </c>
      <c r="I35" s="70">
        <f>I$34*s_Aeq_Feq!$B3</f>
        <v>0.74399999999999999</v>
      </c>
      <c r="J35" s="71">
        <f>IFERROR(I35*((s_Aeq_Feq!D3*1)/162),".")</f>
        <v>0</v>
      </c>
      <c r="K35" s="72">
        <f t="shared" ref="K35:K39" si="8">IFERROR(I35*EFw*(1/365)*EDw*ETw*(1/24)*GSFa,".")</f>
        <v>4.2465753424657535</v>
      </c>
      <c r="L35" s="70">
        <f>L$34*s_Aeq_Feq!$B3</f>
        <v>314.62464056899233</v>
      </c>
      <c r="M35" s="71">
        <f>IFERROR((L35/1000)*((s_Aeq_Feq!D3*1)/162),".")</f>
        <v>0</v>
      </c>
      <c r="N35" s="70">
        <f>N$34*s_Aeq_Feq!$B3</f>
        <v>3.7199999999999997E-2</v>
      </c>
      <c r="O35" s="101">
        <f>IFERROR((N35/1000)*((s_Aeq_Feq!D3*1)/162),".")</f>
        <v>0</v>
      </c>
    </row>
    <row r="36" spans="1:15" x14ac:dyDescent="0.25">
      <c r="A36" s="57" t="str">
        <f>isospec!A4</f>
        <v>Rn-219~Pb-211</v>
      </c>
      <c r="B36" s="70">
        <f>B$34*s_Aeq_Feq!$B4</f>
        <v>0.9355</v>
      </c>
      <c r="C36" s="71">
        <f>IFERROR(B36*((Aeq_Feq!D4*1)/162),".")</f>
        <v>0</v>
      </c>
      <c r="D36" s="72">
        <f>IFERROR((B36/1000)*((s_Aeq_Feq!D4*1)/162),".")</f>
        <v>0</v>
      </c>
      <c r="E36" s="70">
        <f>E$34*s_Aeq_Feq!$B4</f>
        <v>395.60665490899504</v>
      </c>
      <c r="F36" s="71">
        <f>IFERROR((E36/1000)*((s_Aeq_Feq!D4*1)/162),".")</f>
        <v>0</v>
      </c>
      <c r="G36" s="70">
        <f>G$34*s_Aeq_Feq!$B4</f>
        <v>4.6774999999999997E-2</v>
      </c>
      <c r="H36" s="71">
        <f>IFERROR((G36/1000)*((s_Aeq_Feq!D4*1)/162),".")</f>
        <v>0</v>
      </c>
      <c r="I36" s="70">
        <f>I$34*s_Aeq_Feq!$B4</f>
        <v>0.9355</v>
      </c>
      <c r="J36" s="71">
        <f>IFERROR(I36*((s_Aeq_Feq!D4*1)/162),".")</f>
        <v>0</v>
      </c>
      <c r="K36" s="72">
        <f t="shared" si="8"/>
        <v>5.3396118721461185</v>
      </c>
      <c r="L36" s="70">
        <f>L$34*s_Aeq_Feq!$B4</f>
        <v>395.60665490899504</v>
      </c>
      <c r="M36" s="71">
        <f>IFERROR((L36/1000)*((s_Aeq_Feq!D4*1)/162),".")</f>
        <v>0</v>
      </c>
      <c r="N36" s="70">
        <f>N$34*s_Aeq_Feq!$B4</f>
        <v>4.6774999999999997E-2</v>
      </c>
      <c r="O36" s="101">
        <f>IFERROR((N36/1000)*((s_Aeq_Feq!D4*1)/162),".")</f>
        <v>0</v>
      </c>
    </row>
    <row r="37" spans="1:15" x14ac:dyDescent="0.25">
      <c r="A37" s="57" t="str">
        <f>isospec!A5</f>
        <v>Rn-219~Po-211</v>
      </c>
      <c r="B37" s="70">
        <f>B$34*s_Aeq_Feq!$B5</f>
        <v>2E-3</v>
      </c>
      <c r="C37" s="71">
        <f>IFERROR(B37*((Aeq_Feq!D5*1)/162),".")</f>
        <v>0</v>
      </c>
      <c r="D37" s="72">
        <f>IFERROR((B37/1000)*((s_Aeq_Feq!D5*1)/162),".")</f>
        <v>0</v>
      </c>
      <c r="E37" s="70">
        <f>E$34*s_Aeq_Feq!$B5</f>
        <v>0.84576516281987191</v>
      </c>
      <c r="F37" s="71">
        <f>IFERROR((E37/1000)*((s_Aeq_Feq!D5*1)/162),".")</f>
        <v>0</v>
      </c>
      <c r="G37" s="70">
        <f>G$34*s_Aeq_Feq!$B5</f>
        <v>1E-4</v>
      </c>
      <c r="H37" s="71">
        <f>IFERROR((G37/1000)*((s_Aeq_Feq!D5*1)/162),".")</f>
        <v>0</v>
      </c>
      <c r="I37" s="70">
        <f>I$34*s_Aeq_Feq!$B5</f>
        <v>2E-3</v>
      </c>
      <c r="J37" s="71">
        <f>IFERROR(I37*((s_Aeq_Feq!D5*1)/162),".")</f>
        <v>0</v>
      </c>
      <c r="K37" s="72">
        <f t="shared" si="8"/>
        <v>1.1415525114155251E-2</v>
      </c>
      <c r="L37" s="70">
        <f>L$34*s_Aeq_Feq!$B5</f>
        <v>0.84576516281987191</v>
      </c>
      <c r="M37" s="71">
        <f>IFERROR((L37/1000)*((s_Aeq_Feq!D5*1)/162),".")</f>
        <v>0</v>
      </c>
      <c r="N37" s="70">
        <f>N$34*s_Aeq_Feq!$B5</f>
        <v>1E-4</v>
      </c>
      <c r="O37" s="101">
        <f>IFERROR((N37/1000)*((s_Aeq_Feq!D5*1)/162),".")</f>
        <v>0</v>
      </c>
    </row>
    <row r="38" spans="1:15" x14ac:dyDescent="0.25">
      <c r="A38" s="57" t="str">
        <f>isospec!A6</f>
        <v>Rn-219~Po-215</v>
      </c>
      <c r="B38" s="70">
        <f>B$34*s_Aeq_Feq!$B6</f>
        <v>4.9835000000000003</v>
      </c>
      <c r="C38" s="71">
        <f>IFERROR(B38*((Aeq_Feq!D6*1)/162),".")</f>
        <v>0</v>
      </c>
      <c r="D38" s="72">
        <f>IFERROR((B38/1000)*((s_Aeq_Feq!D6*1)/162),".")</f>
        <v>0</v>
      </c>
      <c r="E38" s="70">
        <f>E$34*s_Aeq_Feq!$B6</f>
        <v>2107.4353444564158</v>
      </c>
      <c r="F38" s="71">
        <f>IFERROR((E38/1000)*((s_Aeq_Feq!D6*1)/162),".")</f>
        <v>0</v>
      </c>
      <c r="G38" s="70">
        <f>G$34*s_Aeq_Feq!$B6</f>
        <v>0.24917500000000001</v>
      </c>
      <c r="H38" s="71">
        <f>IFERROR((G38/1000)*((s_Aeq_Feq!D6*1)/162),".")</f>
        <v>0</v>
      </c>
      <c r="I38" s="70">
        <f>I$34*s_Aeq_Feq!$B6</f>
        <v>4.9835000000000003</v>
      </c>
      <c r="J38" s="71">
        <f>IFERROR(I38*((s_Aeq_Feq!D6*1)/162),".")</f>
        <v>0</v>
      </c>
      <c r="K38" s="72">
        <f t="shared" si="8"/>
        <v>28.444634703196346</v>
      </c>
      <c r="L38" s="70">
        <f>L$34*s_Aeq_Feq!$B6</f>
        <v>2107.4353444564158</v>
      </c>
      <c r="M38" s="71">
        <f>IFERROR((L38/1000)*((s_Aeq_Feq!D6*1)/162),".")</f>
        <v>0</v>
      </c>
      <c r="N38" s="70">
        <f>N$34*s_Aeq_Feq!$B6</f>
        <v>0.24917500000000001</v>
      </c>
      <c r="O38" s="101">
        <f>IFERROR((N38/1000)*((s_Aeq_Feq!D6*1)/162),".")</f>
        <v>0</v>
      </c>
    </row>
    <row r="39" spans="1:15" x14ac:dyDescent="0.25">
      <c r="A39" s="57" t="str">
        <f>isospec!A7</f>
        <v>Rn-219~Tl-207</v>
      </c>
      <c r="B39" s="70">
        <f>B$34*s_Aeq_Feq!$B7</f>
        <v>0.47149999999999997</v>
      </c>
      <c r="C39" s="71">
        <f>IFERROR(B39*((Aeq_Feq!D7*1)/162),".")</f>
        <v>0</v>
      </c>
      <c r="D39" s="72">
        <f>IFERROR((B39/1000)*((s_Aeq_Feq!D7*1)/162),".")</f>
        <v>0</v>
      </c>
      <c r="E39" s="70">
        <f>E$34*s_Aeq_Feq!$B7</f>
        <v>199.38913713478479</v>
      </c>
      <c r="F39" s="71">
        <f>IFERROR((E39/1000)*((s_Aeq_Feq!D7*1)/162),".")</f>
        <v>0</v>
      </c>
      <c r="G39" s="70">
        <f>G$34*s_Aeq_Feq!$B7</f>
        <v>2.3574999999999999E-2</v>
      </c>
      <c r="H39" s="71">
        <f>IFERROR((G39/1000)*((s_Aeq_Feq!D7*1)/162),".")</f>
        <v>0</v>
      </c>
      <c r="I39" s="70">
        <f>I$34*s_Aeq_Feq!$B7</f>
        <v>0.47149999999999997</v>
      </c>
      <c r="J39" s="71">
        <f>IFERROR(I39*((s_Aeq_Feq!D7*1)/162),".")</f>
        <v>0</v>
      </c>
      <c r="K39" s="72">
        <f t="shared" si="8"/>
        <v>2.6912100456621002</v>
      </c>
      <c r="L39" s="70">
        <f>L$34*s_Aeq_Feq!$B7</f>
        <v>199.38913713478479</v>
      </c>
      <c r="M39" s="71">
        <f>IFERROR((L39/1000)*((s_Aeq_Feq!D7*1)/162),".")</f>
        <v>0</v>
      </c>
      <c r="N39" s="70">
        <f>N$34*s_Aeq_Feq!$B7</f>
        <v>2.3574999999999999E-2</v>
      </c>
      <c r="O39" s="101">
        <f>IFERROR((N39/1000)*((s_Aeq_Feq!D7*1)/162),".")</f>
        <v>0</v>
      </c>
    </row>
    <row r="40" spans="1:15" x14ac:dyDescent="0.25">
      <c r="A40" s="57" t="str">
        <f>isospec!A8</f>
        <v>Rn-220</v>
      </c>
      <c r="B40" s="122"/>
      <c r="C40" s="123"/>
      <c r="D40" s="124"/>
      <c r="E40" s="95"/>
      <c r="F40" s="96"/>
      <c r="G40" s="95"/>
      <c r="H40" s="96"/>
      <c r="I40" s="84"/>
      <c r="J40" s="85"/>
      <c r="K40" s="86"/>
      <c r="L40" s="84"/>
      <c r="M40" s="85"/>
      <c r="N40" s="95"/>
      <c r="O40" s="100"/>
    </row>
    <row r="41" spans="1:15" x14ac:dyDescent="0.25">
      <c r="A41" s="57" t="str">
        <f>isospec!A8</f>
        <v>Rn-220</v>
      </c>
      <c r="B41" s="70">
        <f>Cia_219</f>
        <v>5</v>
      </c>
      <c r="C41" s="71">
        <f>IFERROR(B41*((s_Aeq_Feq!D8*1)/7.5),".")</f>
        <v>1.0474586666666668E-3</v>
      </c>
      <c r="D41" s="72">
        <f>IFERROR((B41/1000)*((s_Aeq_Feq!D8*1)/7.5),".")</f>
        <v>1.0474586666666667E-6</v>
      </c>
      <c r="E41" s="70">
        <f>IFERROR(B41*(s_AFgw*1000*up_isospec!$M8),".")</f>
        <v>2114.4129070496797</v>
      </c>
      <c r="F41" s="71">
        <f>IFERROR((E41/1000)*((s_Aeq_Feq!D8*1)/7.5),".")</f>
        <v>4.4295202488020958E-4</v>
      </c>
      <c r="G41" s="70">
        <f>B$41*s_AFss</f>
        <v>0.25</v>
      </c>
      <c r="H41" s="71">
        <f>IFERROR((G41/1000)*((s_Aeq_Feq!D8*1)/7.5),".")</f>
        <v>5.2372933333333336E-8</v>
      </c>
      <c r="I41" s="70">
        <f>Cia_219</f>
        <v>5</v>
      </c>
      <c r="J41" s="71">
        <f>IFERROR(I41*((s_Aeq_Feq!D8*1)/7.5),".")</f>
        <v>1.0474586666666668E-3</v>
      </c>
      <c r="K41" s="72">
        <f>IFERROR((I41/1000)*((s_Aeq_Feq!D8*1)/7.5),".")</f>
        <v>1.0474586666666667E-6</v>
      </c>
      <c r="L41" s="70">
        <f>IFERROR(I41*(s_AFgw*1000*up_isospec!$M8),".")</f>
        <v>2114.4129070496797</v>
      </c>
      <c r="M41" s="71">
        <f>IFERROR((L41/1000)*((s_Aeq_Feq!D8*1)/7.5),".")</f>
        <v>4.4295202488020958E-4</v>
      </c>
      <c r="N41" s="70">
        <f>I$41*s_AFss</f>
        <v>0.25</v>
      </c>
      <c r="O41" s="101">
        <f>IFERROR((N41/1000)*((s_Aeq_Feq!D8*1)/7.5),".")</f>
        <v>5.2372933333333336E-8</v>
      </c>
    </row>
    <row r="42" spans="1:15" x14ac:dyDescent="0.25">
      <c r="A42" s="57" t="str">
        <f>isospec!A9</f>
        <v>Rn-220~Bi-212</v>
      </c>
      <c r="B42" s="70">
        <f>B$41*s_Aeq_Feq!$B9</f>
        <v>8.0000000000000002E-3</v>
      </c>
      <c r="C42" s="71">
        <f>IFERROR(B42*((s_Aeq_Feq!D9*1)/162),".")</f>
        <v>0</v>
      </c>
      <c r="D42" s="72">
        <f>IFERROR((B42/1000)*((s_Aeq_Feq!D9*1)/7.5),".")</f>
        <v>0</v>
      </c>
      <c r="E42" s="70">
        <f>E$41*s_Aeq_Feq!$B9</f>
        <v>3.3830606512794876</v>
      </c>
      <c r="F42" s="71">
        <f>IFERROR((E42/1000)*((s_Aeq_Feq!D9*1)/7.5),".")</f>
        <v>0</v>
      </c>
      <c r="G42" s="70">
        <f>G$41*s_Aeq_Feq!$B9</f>
        <v>4.0000000000000002E-4</v>
      </c>
      <c r="H42" s="71">
        <f>IFERROR((G42/1000)*((s_Aeq_Feq!D9*1)/7.5),".")</f>
        <v>0</v>
      </c>
      <c r="I42" s="70">
        <f>I$41*s_Aeq_Feq!$B9</f>
        <v>8.0000000000000002E-3</v>
      </c>
      <c r="J42" s="71">
        <f>IFERROR(I42*((s_Aeq_Feq!D9*1)/7.5),".")</f>
        <v>0</v>
      </c>
      <c r="K42" s="72">
        <f>IFERROR((I42/1000)*((s_Aeq_Feq!D9*1)/7.5),".")</f>
        <v>0</v>
      </c>
      <c r="L42" s="70">
        <f>L$41*s_Aeq_Feq!$B9</f>
        <v>3.3830606512794876</v>
      </c>
      <c r="M42" s="71">
        <f>IFERROR((L42/1000)*((s_Aeq_Feq!D9*1)/7.5),".")</f>
        <v>0</v>
      </c>
      <c r="N42" s="70">
        <f>N$41*s_Aeq_Feq!$B9</f>
        <v>4.0000000000000002E-4</v>
      </c>
      <c r="O42" s="101">
        <f>IFERROR((N42/1000)*((s_Aeq_Feq!D9*1)/7.5),".")</f>
        <v>0</v>
      </c>
    </row>
    <row r="43" spans="1:15" x14ac:dyDescent="0.25">
      <c r="A43" s="57" t="str">
        <f>isospec!A10</f>
        <v>Rn-220~Pb-212</v>
      </c>
      <c r="B43" s="70">
        <f>B$41*s_Aeq_Feq!$B10</f>
        <v>6.4500000000000002E-2</v>
      </c>
      <c r="C43" s="71">
        <f>IFERROR(B43*((s_Aeq_Feq!D10*1)/162),".")</f>
        <v>0</v>
      </c>
      <c r="D43" s="72">
        <f>IFERROR((B43/1000)*((s_Aeq_Feq!D10*1)/7.5),".")</f>
        <v>0</v>
      </c>
      <c r="E43" s="70">
        <f>E$41*s_Aeq_Feq!$B10</f>
        <v>27.275926500940869</v>
      </c>
      <c r="F43" s="71">
        <f>IFERROR((E43/1000)*((s_Aeq_Feq!D10*1)/7.5),".")</f>
        <v>0</v>
      </c>
      <c r="G43" s="70">
        <f>G$41*s_Aeq_Feq!$B10</f>
        <v>3.225E-3</v>
      </c>
      <c r="H43" s="71">
        <f>IFERROR((G43/1000)*((s_Aeq_Feq!D10*1)/7.5),".")</f>
        <v>0</v>
      </c>
      <c r="I43" s="70">
        <f>I$41*s_Aeq_Feq!$B10</f>
        <v>6.4500000000000002E-2</v>
      </c>
      <c r="J43" s="71">
        <f>IFERROR(I43*((s_Aeq_Feq!D10*1)/7.5),".")</f>
        <v>0</v>
      </c>
      <c r="K43" s="72">
        <f>IFERROR((I43/1000)*((s_Aeq_Feq!D10*1)/7.5),".")</f>
        <v>0</v>
      </c>
      <c r="L43" s="70">
        <f>L$41*s_Aeq_Feq!$B10</f>
        <v>27.275926500940869</v>
      </c>
      <c r="M43" s="71">
        <f>IFERROR((L43/1000)*((s_Aeq_Feq!D10*1)/7.5),".")</f>
        <v>0</v>
      </c>
      <c r="N43" s="70">
        <f>N$41*s_Aeq_Feq!$B10</f>
        <v>3.225E-3</v>
      </c>
      <c r="O43" s="101">
        <f>IFERROR((N43/1000)*((s_Aeq_Feq!D10*1)/7.5),".")</f>
        <v>0</v>
      </c>
    </row>
    <row r="44" spans="1:15" x14ac:dyDescent="0.25">
      <c r="A44" s="57" t="str">
        <f>isospec!A11</f>
        <v>Rn-220~Po-212</v>
      </c>
      <c r="B44" s="70">
        <f>B$41*s_Aeq_Feq!$B11</f>
        <v>5.0000000000000001E-3</v>
      </c>
      <c r="C44" s="71">
        <f>IFERROR(B44*((s_Aeq_Feq!D11*1)/162),".")</f>
        <v>0</v>
      </c>
      <c r="D44" s="72">
        <f>IFERROR((B44/1000)*((s_Aeq_Feq!D11*1)/7.5),".")</f>
        <v>0</v>
      </c>
      <c r="E44" s="70">
        <f>E$41*s_Aeq_Feq!$B11</f>
        <v>2.1144129070496795</v>
      </c>
      <c r="F44" s="71">
        <f>IFERROR((E44/1000)*((s_Aeq_Feq!D11*1)/7.5),".")</f>
        <v>0</v>
      </c>
      <c r="G44" s="70">
        <f>G$41*s_Aeq_Feq!$B11</f>
        <v>2.5000000000000001E-4</v>
      </c>
      <c r="H44" s="71">
        <f>IFERROR((G44/1000)*((s_Aeq_Feq!D11*1)/7.5),".")</f>
        <v>0</v>
      </c>
      <c r="I44" s="70">
        <f>I$41*s_Aeq_Feq!$B11</f>
        <v>5.0000000000000001E-3</v>
      </c>
      <c r="J44" s="71">
        <f>IFERROR(I44*((s_Aeq_Feq!D11*1)/7.5),".")</f>
        <v>0</v>
      </c>
      <c r="K44" s="72">
        <f>IFERROR((I44/1000)*((s_Aeq_Feq!D11*1)/7.5),".")</f>
        <v>0</v>
      </c>
      <c r="L44" s="70">
        <f>L$41*s_Aeq_Feq!$B11</f>
        <v>2.1144129070496795</v>
      </c>
      <c r="M44" s="71">
        <f>IFERROR((L44/1000)*((s_Aeq_Feq!D11*1)/7.5),".")</f>
        <v>0</v>
      </c>
      <c r="N44" s="70">
        <f>N$41*s_Aeq_Feq!$B11</f>
        <v>2.5000000000000001E-4</v>
      </c>
      <c r="O44" s="101">
        <f>IFERROR((N44/1000)*((s_Aeq_Feq!D11*1)/7.5),".")</f>
        <v>0</v>
      </c>
    </row>
    <row r="45" spans="1:15" x14ac:dyDescent="0.25">
      <c r="A45" s="57" t="str">
        <f>isospec!A12</f>
        <v>Rn-220~Po-216</v>
      </c>
      <c r="B45" s="70">
        <f>B$41*s_Aeq_Feq!$B12</f>
        <v>4.9984999999999999</v>
      </c>
      <c r="C45" s="71">
        <f>IFERROR(B45*((s_Aeq_Feq!D12*1)/162),".")</f>
        <v>0</v>
      </c>
      <c r="D45" s="72">
        <f>IFERROR((B45/1000)*((s_Aeq_Feq!D12*1)/7.5),".")</f>
        <v>0</v>
      </c>
      <c r="E45" s="70">
        <f>E$41*s_Aeq_Feq!$B12</f>
        <v>2113.778583177565</v>
      </c>
      <c r="F45" s="71">
        <f>IFERROR((E45/1000)*((s_Aeq_Feq!D12*1)/7.5),".")</f>
        <v>0</v>
      </c>
      <c r="G45" s="70">
        <f>G$41*s_Aeq_Feq!$B12</f>
        <v>0.24992500000000001</v>
      </c>
      <c r="H45" s="71">
        <f>IFERROR((G45/1000)*((s_Aeq_Feq!D12*1)/7.5),".")</f>
        <v>0</v>
      </c>
      <c r="I45" s="70">
        <f>I$41*s_Aeq_Feq!$B12</f>
        <v>4.9984999999999999</v>
      </c>
      <c r="J45" s="71">
        <f>IFERROR(I45*((s_Aeq_Feq!D12*1)/7.5),".")</f>
        <v>0</v>
      </c>
      <c r="K45" s="72">
        <f>IFERROR((I45/1000)*((s_Aeq_Feq!D12*1)/7.5),".")</f>
        <v>0</v>
      </c>
      <c r="L45" s="70">
        <f>L$41*s_Aeq_Feq!$B12</f>
        <v>2113.778583177565</v>
      </c>
      <c r="M45" s="71">
        <f>IFERROR((L45/1000)*((s_Aeq_Feq!D12*1)/7.5),".")</f>
        <v>0</v>
      </c>
      <c r="N45" s="70">
        <f>N$41*s_Aeq_Feq!$B12</f>
        <v>0.24992500000000001</v>
      </c>
      <c r="O45" s="101">
        <f>IFERROR((N45/1000)*((s_Aeq_Feq!D12*1)/7.5),".")</f>
        <v>0</v>
      </c>
    </row>
    <row r="46" spans="1:15" x14ac:dyDescent="0.25">
      <c r="A46" s="57" t="str">
        <f>isospec!A13</f>
        <v>Rn-220~Tl-208</v>
      </c>
      <c r="B46" s="70">
        <f>B$41*s_Aeq_Feq!$B13</f>
        <v>2E-3</v>
      </c>
      <c r="C46" s="71">
        <f>IFERROR(B46*((s_Aeq_Feq!D13*1)/162),".")</f>
        <v>0</v>
      </c>
      <c r="D46" s="72">
        <f>IFERROR((B46/1000)*((s_Aeq_Feq!D13*1)/7.5),".")</f>
        <v>0</v>
      </c>
      <c r="E46" s="70">
        <f>E$41*s_Aeq_Feq!$B13</f>
        <v>0.84576516281987191</v>
      </c>
      <c r="F46" s="71">
        <f>IFERROR((E46/1000)*((s_Aeq_Feq!D13*1)/7.5),".")</f>
        <v>0</v>
      </c>
      <c r="G46" s="70">
        <f>G$41*s_Aeq_Feq!$B13</f>
        <v>1E-4</v>
      </c>
      <c r="H46" s="71">
        <f>IFERROR((G46/1000)*((s_Aeq_Feq!D13*1)/7.5),".")</f>
        <v>0</v>
      </c>
      <c r="I46" s="70">
        <f>I$41*s_Aeq_Feq!$B13</f>
        <v>2E-3</v>
      </c>
      <c r="J46" s="71">
        <f>IFERROR(I46*((s_Aeq_Feq!D13*1)/7.5),".")</f>
        <v>0</v>
      </c>
      <c r="K46" s="72">
        <f>IFERROR((I46/1000)*((s_Aeq_Feq!D13*1)/7.5),".")</f>
        <v>0</v>
      </c>
      <c r="L46" s="70">
        <f>L$41*s_Aeq_Feq!$B13</f>
        <v>0.84576516281987191</v>
      </c>
      <c r="M46" s="71">
        <f>IFERROR((L46/1000)*((s_Aeq_Feq!D13*1)/7.5),".")</f>
        <v>0</v>
      </c>
      <c r="N46" s="70">
        <f>N$41*s_Aeq_Feq!$B13</f>
        <v>1E-4</v>
      </c>
      <c r="O46" s="101">
        <f>IFERROR((N46/1000)*((s_Aeq_Feq!D13*1)/7.5),".")</f>
        <v>0</v>
      </c>
    </row>
    <row r="47" spans="1:15" x14ac:dyDescent="0.25">
      <c r="A47" s="57" t="str">
        <f>isospec!A14</f>
        <v>Rn-222</v>
      </c>
      <c r="B47" s="122"/>
      <c r="C47" s="123"/>
      <c r="D47" s="124"/>
      <c r="E47" s="95"/>
      <c r="F47" s="96"/>
      <c r="G47" s="95"/>
      <c r="H47" s="96"/>
      <c r="I47" s="84"/>
      <c r="J47" s="85"/>
      <c r="K47" s="86"/>
      <c r="L47" s="84"/>
      <c r="M47" s="85"/>
      <c r="N47" s="95"/>
      <c r="O47" s="100"/>
    </row>
    <row r="48" spans="1:15" x14ac:dyDescent="0.25">
      <c r="A48" s="57" t="str">
        <f>isospec!A14</f>
        <v>Rn-222</v>
      </c>
      <c r="B48" s="75">
        <v>5</v>
      </c>
      <c r="C48" s="71">
        <f>IFERROR(B48*((s_Aeq_Feq!D14*1)/100),".")</f>
        <v>1.73966222E-2</v>
      </c>
      <c r="D48" s="77">
        <f>IFERROR((B48/1000)*((s_Aeq_Feq!D14*1)/100),".")</f>
        <v>1.7396622200000002E-5</v>
      </c>
      <c r="E48" s="70">
        <f>IFERROR(B48*(s_AFgw*1000*up_isospec!$M14),".")</f>
        <v>2114.4129070496797</v>
      </c>
      <c r="F48" s="71">
        <f>IFERROR((E48/1000)*((s_Aeq_Feq!D14*1)/100),".")</f>
        <v>7.3567285037493988E-3</v>
      </c>
      <c r="G48" s="70">
        <f>B$48*s_AFss</f>
        <v>0.25</v>
      </c>
      <c r="H48" s="71">
        <f>IFERROR((G48/1000)*((s_Aeq_Feq!D14*1)/100),".")</f>
        <v>8.6983111000000011E-7</v>
      </c>
      <c r="I48" s="75">
        <v>5</v>
      </c>
      <c r="J48" s="71">
        <f>IFERROR(I48*((s_Aeq_Feq!D14*1)/100),".")</f>
        <v>1.73966222E-2</v>
      </c>
      <c r="K48" s="72">
        <f>IFERROR((I48/1000)*((s_Aeq_Feq!D14*1)/100),".")</f>
        <v>1.7396622200000002E-5</v>
      </c>
      <c r="L48" s="70">
        <f>IFERROR(I48*(s_AFgw*1000*up_isospec!$M14),".")</f>
        <v>2114.4129070496797</v>
      </c>
      <c r="M48" s="71">
        <f>IFERROR((L48/1000)*((s_Aeq_Feq!D14*1)/100),".")</f>
        <v>7.3567285037493988E-3</v>
      </c>
      <c r="N48" s="70">
        <f>I$48*s_AFss</f>
        <v>0.25</v>
      </c>
      <c r="O48" s="101">
        <f>IFERROR((N48/1000)*((s_Aeq_Feq!D14*1)/100),".")</f>
        <v>8.6983111000000011E-7</v>
      </c>
    </row>
    <row r="49" spans="1:15" x14ac:dyDescent="0.25">
      <c r="A49" s="57" t="str">
        <f>isospec!A15</f>
        <v>Rn-222~At-218</v>
      </c>
      <c r="B49" s="70">
        <f>B$48*s_Aeq_Feq!$B15</f>
        <v>7.2499999999999995E-4</v>
      </c>
      <c r="C49" s="71">
        <f>IFERROR(B49*((s_Aeq_Feq!D15*1)/162),".")</f>
        <v>0</v>
      </c>
      <c r="D49" s="72">
        <f>IFERROR((B49/1000)*((s_Aeq_Feq!D15*1)/100),".")</f>
        <v>0</v>
      </c>
      <c r="E49" s="70">
        <f>E$48*s_Aeq_Feq!$B15</f>
        <v>0.30658987152220357</v>
      </c>
      <c r="F49" s="71">
        <f>IFERROR((E49/1000)*((s_Aeq_Feq!D15*1)/100),".")</f>
        <v>0</v>
      </c>
      <c r="G49" s="70">
        <f>G$48*s_Aeq_Feq!$B15</f>
        <v>3.625E-5</v>
      </c>
      <c r="H49" s="71">
        <f>IFERROR((G49/1000)*((s_Aeq_Feq!D15*1)/100),".")</f>
        <v>0</v>
      </c>
      <c r="I49" s="70">
        <f>I$48*s_Aeq_Feq!$B15</f>
        <v>7.2499999999999995E-4</v>
      </c>
      <c r="J49" s="71">
        <f>IFERROR(I49*((s_Aeq_Feq!D15*1)/100),".")</f>
        <v>0</v>
      </c>
      <c r="K49" s="72">
        <f>IFERROR((I49/1000)*((s_Aeq_Feq!D15*1)/100),".")</f>
        <v>0</v>
      </c>
      <c r="L49" s="70">
        <f>L$48*s_Aeq_Feq!$B15</f>
        <v>0.30658987152220357</v>
      </c>
      <c r="M49" s="71">
        <f>IFERROR((L49/1000)*((s_Aeq_Feq!D15*1)/100),".")</f>
        <v>0</v>
      </c>
      <c r="N49" s="70">
        <f>N$48*s_Aeq_Feq!$B15</f>
        <v>3.625E-5</v>
      </c>
      <c r="O49" s="101">
        <f>IFERROR((N49/1000)*((s_Aeq_Feq!D15*1)/100),".")</f>
        <v>0</v>
      </c>
    </row>
    <row r="50" spans="1:15" x14ac:dyDescent="0.25">
      <c r="A50" s="57" t="str">
        <f>isospec!A17</f>
        <v>Rn-222~Bi-214</v>
      </c>
      <c r="B50" s="70">
        <f>B$48*s_Aeq_Feq!$B16</f>
        <v>0</v>
      </c>
      <c r="C50" s="71">
        <f>IFERROR(B50*((s_Aeq_Feq!D16*1)/162),".")</f>
        <v>0</v>
      </c>
      <c r="D50" s="72">
        <f>IFERROR((B50/1000)*((s_Aeq_Feq!D16*1)/100),".")</f>
        <v>0</v>
      </c>
      <c r="E50" s="70">
        <f>E$48*s_Aeq_Feq!$B16</f>
        <v>0</v>
      </c>
      <c r="F50" s="71">
        <f>IFERROR((E50/1000)*((s_Aeq_Feq!D16*1)/100),".")</f>
        <v>0</v>
      </c>
      <c r="G50" s="70">
        <f>G$48*s_Aeq_Feq!$B16</f>
        <v>0</v>
      </c>
      <c r="H50" s="71">
        <f>IFERROR((G50/1000)*((s_Aeq_Feq!D16*1)/100),".")</f>
        <v>0</v>
      </c>
      <c r="I50" s="70">
        <f>I$48*s_Aeq_Feq!$B16</f>
        <v>0</v>
      </c>
      <c r="J50" s="71">
        <f>IFERROR(I50*((s_Aeq_Feq!D16*1)/100),".")</f>
        <v>0</v>
      </c>
      <c r="K50" s="72">
        <f>IFERROR((I50/1000)*((s_Aeq_Feq!D16*1)/100),".")</f>
        <v>0</v>
      </c>
      <c r="L50" s="70">
        <f>L$48*s_Aeq_Feq!$B16</f>
        <v>0</v>
      </c>
      <c r="M50" s="71">
        <f>IFERROR((L50/1000)*((s_Aeq_Feq!D16*1)/100),".")</f>
        <v>0</v>
      </c>
      <c r="N50" s="70">
        <f>N$48*s_Aeq_Feq!$B16</f>
        <v>0</v>
      </c>
      <c r="O50" s="101">
        <f>IFERROR((N50/1000)*((s_Aeq_Feq!D16*1)/100),".")</f>
        <v>0</v>
      </c>
    </row>
    <row r="51" spans="1:15" x14ac:dyDescent="0.25">
      <c r="A51" s="57" t="str">
        <f>isospec!A20</f>
        <v>Rn-222~Pb-214</v>
      </c>
      <c r="B51" s="70">
        <f>B$48*s_Aeq_Feq!$B17</f>
        <v>0.2545</v>
      </c>
      <c r="C51" s="71">
        <f>IFERROR(B51*((s_Aeq_Feq!D17*1)/162),".")</f>
        <v>0</v>
      </c>
      <c r="D51" s="72">
        <f>IFERROR((B51/1000)*((s_Aeq_Feq!D17*1)/100),".")</f>
        <v>0</v>
      </c>
      <c r="E51" s="70">
        <f>E$48*s_Aeq_Feq!$B17</f>
        <v>107.6236169688287</v>
      </c>
      <c r="F51" s="71">
        <f>IFERROR((E51/1000)*((s_Aeq_Feq!D17*1)/100),".")</f>
        <v>0</v>
      </c>
      <c r="G51" s="70">
        <f>G$48*s_Aeq_Feq!$B17</f>
        <v>1.2725E-2</v>
      </c>
      <c r="H51" s="71">
        <f>IFERROR((G51/1000)*((s_Aeq_Feq!D17*1)/100),".")</f>
        <v>0</v>
      </c>
      <c r="I51" s="70">
        <f>I$48*s_Aeq_Feq!$B17</f>
        <v>0.2545</v>
      </c>
      <c r="J51" s="71">
        <f>IFERROR(I51*((s_Aeq_Feq!D17*1)/100),".")</f>
        <v>0</v>
      </c>
      <c r="K51" s="72">
        <f>IFERROR((I51/1000)*((s_Aeq_Feq!D17*1)/100),".")</f>
        <v>0</v>
      </c>
      <c r="L51" s="70">
        <f>L$48*s_Aeq_Feq!$B17</f>
        <v>107.6236169688287</v>
      </c>
      <c r="M51" s="71">
        <f>IFERROR((L51/1000)*((s_Aeq_Feq!D17*1)/100),".")</f>
        <v>0</v>
      </c>
      <c r="N51" s="70">
        <f>N$48*s_Aeq_Feq!$B17</f>
        <v>1.2725E-2</v>
      </c>
      <c r="O51" s="101">
        <f>IFERROR((N51/1000)*((s_Aeq_Feq!D17*1)/100),".")</f>
        <v>0</v>
      </c>
    </row>
    <row r="52" spans="1:15" x14ac:dyDescent="0.25">
      <c r="A52" s="57" t="str">
        <f>isospec!A22</f>
        <v>Rn-222~Po-214</v>
      </c>
      <c r="B52" s="70">
        <f>B$48*s_Aeq_Feq!$B18</f>
        <v>0</v>
      </c>
      <c r="C52" s="71">
        <f>IFERROR(B52*((s_Aeq_Feq!D18*1)/162),".")</f>
        <v>0</v>
      </c>
      <c r="D52" s="72">
        <f>IFERROR((B52/1000)*((s_Aeq_Feq!D18*1)/100),".")</f>
        <v>0</v>
      </c>
      <c r="E52" s="70">
        <f>E$48*s_Aeq_Feq!$B18</f>
        <v>0</v>
      </c>
      <c r="F52" s="71">
        <f>IFERROR((E52/1000)*((s_Aeq_Feq!D18*1)/100),".")</f>
        <v>0</v>
      </c>
      <c r="G52" s="70">
        <f>G$48*s_Aeq_Feq!$B18</f>
        <v>0</v>
      </c>
      <c r="H52" s="71">
        <f>IFERROR((G52/1000)*((s_Aeq_Feq!D18*1)/100),".")</f>
        <v>0</v>
      </c>
      <c r="I52" s="70">
        <f>I$48*s_Aeq_Feq!$B18</f>
        <v>0</v>
      </c>
      <c r="J52" s="71">
        <f>IFERROR(I52*((s_Aeq_Feq!D18*1)/100),".")</f>
        <v>0</v>
      </c>
      <c r="K52" s="72">
        <f>IFERROR((I52/1000)*((s_Aeq_Feq!D18*1)/100),".")</f>
        <v>0</v>
      </c>
      <c r="L52" s="70">
        <f>L$48*s_Aeq_Feq!$B18</f>
        <v>0</v>
      </c>
      <c r="M52" s="71">
        <f>IFERROR((L52/1000)*((s_Aeq_Feq!D18*1)/100),".")</f>
        <v>0</v>
      </c>
      <c r="N52" s="70">
        <f>N$48*s_Aeq_Feq!$B18</f>
        <v>0</v>
      </c>
      <c r="O52" s="101">
        <f>IFERROR((N52/1000)*((s_Aeq_Feq!D18*1)/100),".")</f>
        <v>0</v>
      </c>
    </row>
    <row r="53" spans="1:15" x14ac:dyDescent="0.25">
      <c r="A53" s="57" t="str">
        <f>isospec!A23</f>
        <v>Rn-222~Po-218</v>
      </c>
      <c r="B53" s="70">
        <f>B$48*s_Aeq_Feq!$B19</f>
        <v>0</v>
      </c>
      <c r="C53" s="71">
        <f>IFERROR(B53*((s_Aeq_Feq!D19*1)/162),".")</f>
        <v>0</v>
      </c>
      <c r="D53" s="72">
        <f>IFERROR((B53/1000)*((s_Aeq_Feq!D19*1)/100),".")</f>
        <v>0</v>
      </c>
      <c r="E53" s="70">
        <f>E$48*s_Aeq_Feq!$B19</f>
        <v>0</v>
      </c>
      <c r="F53" s="71">
        <f>IFERROR((E53/1000)*((s_Aeq_Feq!D19*1)/100),".")</f>
        <v>0</v>
      </c>
      <c r="G53" s="70">
        <f>G$48*s_Aeq_Feq!$B19</f>
        <v>0</v>
      </c>
      <c r="H53" s="71">
        <f>IFERROR((G53/1000)*((s_Aeq_Feq!D19*1)/100),".")</f>
        <v>0</v>
      </c>
      <c r="I53" s="70">
        <f>I$48*s_Aeq_Feq!$B19</f>
        <v>0</v>
      </c>
      <c r="J53" s="71">
        <f>IFERROR(I53*((s_Aeq_Feq!D19*1)/100),".")</f>
        <v>0</v>
      </c>
      <c r="K53" s="72">
        <f>IFERROR((I53/1000)*((s_Aeq_Feq!D19*1)/100),".")</f>
        <v>0</v>
      </c>
      <c r="L53" s="70">
        <f>L$48*s_Aeq_Feq!$B19</f>
        <v>0</v>
      </c>
      <c r="M53" s="71">
        <f>IFERROR((L53/1000)*((s_Aeq_Feq!D19*1)/100),".")</f>
        <v>0</v>
      </c>
      <c r="N53" s="70">
        <f>N$48*s_Aeq_Feq!$B19</f>
        <v>0</v>
      </c>
      <c r="O53" s="101">
        <f>IFERROR((N53/1000)*((s_Aeq_Feq!D19*1)/100),".")</f>
        <v>0</v>
      </c>
    </row>
    <row r="54" spans="1:15" x14ac:dyDescent="0.25">
      <c r="A54" s="57" t="str">
        <f>isospec!A24</f>
        <v>Rn-222~Rn-218</v>
      </c>
      <c r="B54" s="70">
        <f>B$48*s_Aeq_Feq!$B20</f>
        <v>0.86499999999999999</v>
      </c>
      <c r="C54" s="71">
        <f>IFERROR(B54*((s_Aeq_Feq!D20*1)/162),".")</f>
        <v>0</v>
      </c>
      <c r="D54" s="72">
        <f>IFERROR((B54/1000)*((s_Aeq_Feq!D20*1)/100),".")</f>
        <v>0</v>
      </c>
      <c r="E54" s="70">
        <f>E$48*s_Aeq_Feq!$B20</f>
        <v>365.79343291959458</v>
      </c>
      <c r="F54" s="71">
        <f>IFERROR((E54/1000)*((s_Aeq_Feq!D20*1)/100),".")</f>
        <v>0</v>
      </c>
      <c r="G54" s="70">
        <f>G$48*s_Aeq_Feq!$B20</f>
        <v>4.3249999999999997E-2</v>
      </c>
      <c r="H54" s="71">
        <f>IFERROR((G54/1000)*((s_Aeq_Feq!D20*1)/100),".")</f>
        <v>0</v>
      </c>
      <c r="I54" s="70">
        <f>I$48*s_Aeq_Feq!$B20</f>
        <v>0.86499999999999999</v>
      </c>
      <c r="J54" s="71">
        <f>IFERROR(I54*((s_Aeq_Feq!D20*1)/100),".")</f>
        <v>0</v>
      </c>
      <c r="K54" s="74">
        <f>IFERROR((I54/1000)*((s_Aeq_Feq!D20*1)/100),".")</f>
        <v>0</v>
      </c>
      <c r="L54" s="70">
        <f>L$48*s_Aeq_Feq!$B20</f>
        <v>365.79343291959458</v>
      </c>
      <c r="M54" s="71">
        <f>IFERROR((L54/1000)*((s_Aeq_Feq!D20*1)/100),".")</f>
        <v>0</v>
      </c>
      <c r="N54" s="70">
        <f>N$48*s_Aeq_Feq!$B20</f>
        <v>4.3249999999999997E-2</v>
      </c>
      <c r="O54" s="101">
        <f>IFERROR((N54/1000)*((s_Aeq_Feq!D20*1)/100),".")</f>
        <v>0</v>
      </c>
    </row>
    <row r="55" spans="1:15" ht="15.75" thickBot="1" x14ac:dyDescent="0.3">
      <c r="A55" s="57" t="str">
        <f>isospec!A26</f>
        <v>Rn-222~Tl-210</v>
      </c>
      <c r="B55" s="79">
        <f>B$48*s_Aeq_Feq!$B21</f>
        <v>0</v>
      </c>
      <c r="C55" s="80">
        <f>IFERROR(B55*((s_Aeq_Feq!D21*1)/162),".")</f>
        <v>0</v>
      </c>
      <c r="D55" s="81">
        <f>IFERROR((B55/1000)*((s_Aeq_Feq!D21*1)/100),".")</f>
        <v>0</v>
      </c>
      <c r="E55" s="79">
        <f>E$48*s_Aeq_Feq!$B21</f>
        <v>0</v>
      </c>
      <c r="F55" s="97">
        <f>IFERROR((E55/1000)*((s_Aeq_Feq!D21*1)/100),".")</f>
        <v>0</v>
      </c>
      <c r="G55" s="79">
        <f>G$48*s_Aeq_Feq!$B21</f>
        <v>0</v>
      </c>
      <c r="H55" s="80">
        <f>IFERROR((G55/1000)*((s_Aeq_Feq!D21*1)/100),".")</f>
        <v>0</v>
      </c>
      <c r="I55" s="79">
        <f>I$48*s_Aeq_Feq!$B21</f>
        <v>0</v>
      </c>
      <c r="J55" s="80">
        <f>IFERROR(I55*((s_Aeq_Feq!D21*1)/100),".")</f>
        <v>0</v>
      </c>
      <c r="K55" s="83">
        <f>IFERROR((I55/1000)*((s_Aeq_Feq!D21*1)/100),".")</f>
        <v>0</v>
      </c>
      <c r="L55" s="79">
        <f>L$48*s_Aeq_Feq!$B21</f>
        <v>0</v>
      </c>
      <c r="M55" s="80">
        <f>IFERROR((L55/1000)*((s_Aeq_Feq!D21*1)/100),".")</f>
        <v>0</v>
      </c>
      <c r="N55" s="79">
        <f>N$48*s_Aeq_Feq!$B21</f>
        <v>0</v>
      </c>
      <c r="O55" s="97">
        <f>IFERROR((N55/1000)*((s_Aeq_Feq!D21*1)/100),".")</f>
        <v>0</v>
      </c>
    </row>
    <row r="57" spans="1:15" x14ac:dyDescent="0.25">
      <c r="D57" s="56"/>
      <c r="E57" s="56"/>
    </row>
    <row r="58" spans="1:15" x14ac:dyDescent="0.25">
      <c r="D58" s="56"/>
      <c r="E58" s="56"/>
    </row>
    <row r="60" spans="1:15" x14ac:dyDescent="0.25">
      <c r="D60" s="56"/>
      <c r="E60" s="56"/>
    </row>
    <row r="61" spans="1:15" x14ac:dyDescent="0.25">
      <c r="D61" s="56"/>
      <c r="E61" s="56"/>
    </row>
    <row r="62" spans="1:15" x14ac:dyDescent="0.25">
      <c r="D62" s="56"/>
      <c r="E62" s="56"/>
    </row>
    <row r="63" spans="1:15" x14ac:dyDescent="0.25">
      <c r="D63" s="56"/>
      <c r="E63" s="56"/>
    </row>
  </sheetData>
  <sheetProtection algorithmName="SHA-512" hashValue="oLr9Z+gI+Q3BIIR4XrE3R+GK8y5Jz6QTknEX34lJRSNeLNediijq5MOpEzc1J20duV2TU3lCqBvC/9K4djrMbQ==" saltValue="quJgNhZwMMKlvsP/xOlzeQ==" spinCount="100000" sheet="1" objects="1" scenarios="1"/>
  <mergeCells count="11">
    <mergeCell ref="B40:D40"/>
    <mergeCell ref="B47:D47"/>
    <mergeCell ref="B33:D33"/>
    <mergeCell ref="B31:B32"/>
    <mergeCell ref="N31:N32"/>
    <mergeCell ref="B30:H30"/>
    <mergeCell ref="I30:O30"/>
    <mergeCell ref="E31:E32"/>
    <mergeCell ref="G31:G32"/>
    <mergeCell ref="I31:I32"/>
    <mergeCell ref="L31:L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140625" defaultRowHeight="15" x14ac:dyDescent="0.25"/>
  <cols>
    <col min="1" max="1" width="14.140625" style="29" bestFit="1" customWidth="1"/>
    <col min="2" max="2" width="8.5703125" style="29" bestFit="1" customWidth="1"/>
    <col min="3" max="3" width="10.85546875" style="29" bestFit="1" customWidth="1"/>
    <col min="4" max="4" width="14.140625" style="29" bestFit="1" customWidth="1"/>
    <col min="5" max="5" width="15.140625" style="29" bestFit="1" customWidth="1"/>
    <col min="6" max="6" width="12.28515625" style="29" bestFit="1" customWidth="1"/>
    <col min="7" max="7" width="11" style="29" bestFit="1" customWidth="1"/>
    <col min="8" max="10" width="8.5703125" style="29" bestFit="1" customWidth="1"/>
    <col min="11" max="11" width="8.28515625" style="29" bestFit="1" customWidth="1"/>
    <col min="12" max="16" width="8.5703125" style="29" bestFit="1" customWidth="1"/>
    <col min="17" max="17" width="12" style="29" bestFit="1" customWidth="1"/>
    <col min="18" max="16384" width="9.140625" style="29"/>
  </cols>
  <sheetData>
    <row r="1" spans="1:17" x14ac:dyDescent="0.25">
      <c r="A1" s="17" t="s">
        <v>158</v>
      </c>
      <c r="B1" s="18" t="s">
        <v>2</v>
      </c>
      <c r="C1" s="18" t="s">
        <v>3</v>
      </c>
      <c r="D1" s="19" t="s">
        <v>113</v>
      </c>
      <c r="E1" s="19" t="s">
        <v>87</v>
      </c>
      <c r="F1" s="20" t="s">
        <v>19</v>
      </c>
      <c r="G1" s="21" t="s">
        <v>20</v>
      </c>
      <c r="H1" s="22" t="s">
        <v>59</v>
      </c>
      <c r="I1" s="22" t="s">
        <v>60</v>
      </c>
      <c r="J1" s="22" t="s">
        <v>61</v>
      </c>
      <c r="K1" s="22" t="s">
        <v>62</v>
      </c>
      <c r="L1" s="22" t="s">
        <v>63</v>
      </c>
      <c r="M1" s="22" t="s">
        <v>64</v>
      </c>
      <c r="N1" s="22" t="s">
        <v>66</v>
      </c>
      <c r="O1" s="22" t="s">
        <v>67</v>
      </c>
      <c r="P1" s="22" t="s">
        <v>68</v>
      </c>
      <c r="Q1" s="22" t="s">
        <v>78</v>
      </c>
    </row>
    <row r="2" spans="1:17" x14ac:dyDescent="0.25">
      <c r="A2" s="23" t="s">
        <v>82</v>
      </c>
      <c r="B2" s="24">
        <v>0</v>
      </c>
      <c r="C2" s="24">
        <v>2.3819676480000001E-10</v>
      </c>
      <c r="D2" s="24">
        <v>0</v>
      </c>
      <c r="E2" s="24">
        <v>2.9891358719999998E-4</v>
      </c>
      <c r="F2" s="24">
        <v>1.2557077625570801E-7</v>
      </c>
      <c r="G2" s="24">
        <v>5518800</v>
      </c>
      <c r="H2" s="25">
        <v>219.00899999999999</v>
      </c>
      <c r="I2" s="24">
        <v>12620</v>
      </c>
      <c r="J2" s="24">
        <v>2000</v>
      </c>
      <c r="K2" s="22"/>
      <c r="L2" s="24">
        <v>0.106</v>
      </c>
      <c r="M2" s="26">
        <f>(EXP((-Q2/1.9872)*((1/TgwK)-(1/298.15)))*L2)/(0.00008205*TgwK)</f>
        <v>4.333037685266742</v>
      </c>
      <c r="N2" s="24">
        <v>211.45</v>
      </c>
      <c r="O2" s="24">
        <v>378</v>
      </c>
      <c r="P2" s="24">
        <v>4326.0038240917784</v>
      </c>
      <c r="Q2" s="26">
        <f t="shared" ref="Q2:Q26" si="0">P2*((((1-TgwK)/O2)/((1-N2)/O2))^(IF(N2/O2&lt;0.57,0.3,IF(N2/O2&gt;0.71,0.41,IF(AND(N2/O2&gt;0.57,N2/O2&lt;=0.71),0.74*N2/O2-0.116)))))</f>
        <v>4797.7204626075873</v>
      </c>
    </row>
    <row r="3" spans="1:17" x14ac:dyDescent="0.25">
      <c r="A3" s="23" t="s">
        <v>96</v>
      </c>
      <c r="B3" s="24">
        <v>0</v>
      </c>
      <c r="C3" s="24">
        <v>1.914915168E-10</v>
      </c>
      <c r="D3" s="24">
        <v>0</v>
      </c>
      <c r="E3" s="24">
        <v>2.416996584E-4</v>
      </c>
      <c r="F3" s="24">
        <v>4.0715372907153704E-6</v>
      </c>
      <c r="G3" s="24">
        <v>170205.98130841099</v>
      </c>
      <c r="H3" s="25"/>
      <c r="I3" s="24"/>
      <c r="J3" s="24"/>
      <c r="K3" s="22"/>
      <c r="L3" s="24"/>
      <c r="M3" s="26" t="e">
        <f t="shared" ref="M3:M26" si="1">(EXP((-Q3/1.9872)*((1/TgwK)-(1/298.15)))*L3)/(0.00008205*TgwK)</f>
        <v>#DIV/0!</v>
      </c>
      <c r="N3" s="24"/>
      <c r="O3" s="24"/>
      <c r="P3" s="24"/>
      <c r="Q3" s="26" t="e">
        <f t="shared" si="0"/>
        <v>#DIV/0!</v>
      </c>
    </row>
    <row r="4" spans="1:17" x14ac:dyDescent="0.25">
      <c r="A4" s="23" t="s">
        <v>97</v>
      </c>
      <c r="B4" s="24">
        <v>4.0329999999999998E-11</v>
      </c>
      <c r="C4" s="24">
        <v>2.7906385679999999E-10</v>
      </c>
      <c r="D4" s="24">
        <v>5.0319999999999999E-5</v>
      </c>
      <c r="E4" s="24">
        <v>3.7597724640000001E-4</v>
      </c>
      <c r="F4" s="24">
        <v>6.8683409436834107E-5</v>
      </c>
      <c r="G4" s="24">
        <v>10089.772853185599</v>
      </c>
      <c r="H4" s="25"/>
      <c r="I4" s="24"/>
      <c r="J4" s="24"/>
      <c r="K4" s="22"/>
      <c r="L4" s="24"/>
      <c r="M4" s="26" t="e">
        <f t="shared" si="1"/>
        <v>#DIV/0!</v>
      </c>
      <c r="N4" s="24"/>
      <c r="O4" s="24"/>
      <c r="P4" s="24"/>
      <c r="Q4" s="26" t="e">
        <f t="shared" si="0"/>
        <v>#DIV/0!</v>
      </c>
    </row>
    <row r="5" spans="1:17" x14ac:dyDescent="0.25">
      <c r="A5" s="23" t="s">
        <v>98</v>
      </c>
      <c r="B5" s="24">
        <v>0</v>
      </c>
      <c r="C5" s="24">
        <v>3.5028936E-11</v>
      </c>
      <c r="D5" s="24">
        <v>0</v>
      </c>
      <c r="E5" s="24">
        <v>4.3552643759999998E-5</v>
      </c>
      <c r="F5" s="24">
        <v>1.63622526636225E-8</v>
      </c>
      <c r="G5" s="24">
        <v>42353581.395348802</v>
      </c>
      <c r="H5" s="25"/>
      <c r="I5" s="24"/>
      <c r="J5" s="24"/>
      <c r="K5" s="22"/>
      <c r="L5" s="24"/>
      <c r="M5" s="26" t="e">
        <f t="shared" si="1"/>
        <v>#DIV/0!</v>
      </c>
      <c r="N5" s="24"/>
      <c r="O5" s="24"/>
      <c r="P5" s="24"/>
      <c r="Q5" s="26" t="e">
        <f t="shared" si="0"/>
        <v>#DIV/0!</v>
      </c>
    </row>
    <row r="6" spans="1:17" x14ac:dyDescent="0.25">
      <c r="A6" s="23" t="s">
        <v>99</v>
      </c>
      <c r="B6" s="24">
        <v>0</v>
      </c>
      <c r="C6" s="24">
        <v>7.2860186880000001E-13</v>
      </c>
      <c r="D6" s="24">
        <v>0</v>
      </c>
      <c r="E6" s="24">
        <v>9.1075233600000003E-7</v>
      </c>
      <c r="F6" s="24">
        <v>5.6475139523084702E-11</v>
      </c>
      <c r="G6" s="24">
        <v>12270886019.090401</v>
      </c>
      <c r="H6" s="25"/>
      <c r="I6" s="24"/>
      <c r="J6" s="24"/>
      <c r="K6" s="22"/>
      <c r="L6" s="24"/>
      <c r="M6" s="26" t="e">
        <f t="shared" si="1"/>
        <v>#DIV/0!</v>
      </c>
      <c r="N6" s="24"/>
      <c r="O6" s="24"/>
      <c r="P6" s="24"/>
      <c r="Q6" s="26" t="e">
        <f t="shared" si="0"/>
        <v>#DIV/0!</v>
      </c>
    </row>
    <row r="7" spans="1:17" x14ac:dyDescent="0.25">
      <c r="A7" s="23" t="s">
        <v>100</v>
      </c>
      <c r="B7" s="24">
        <v>0</v>
      </c>
      <c r="C7" s="24">
        <v>1.8098283599999999E-11</v>
      </c>
      <c r="D7" s="24">
        <v>0</v>
      </c>
      <c r="E7" s="24">
        <v>5.3827798320000002E-5</v>
      </c>
      <c r="F7" s="24">
        <v>9.0753424657534201E-6</v>
      </c>
      <c r="G7" s="24">
        <v>76360.754716981101</v>
      </c>
      <c r="H7" s="25"/>
      <c r="I7" s="24"/>
      <c r="J7" s="24"/>
      <c r="K7" s="22"/>
      <c r="L7" s="24"/>
      <c r="M7" s="26" t="e">
        <f t="shared" si="1"/>
        <v>#DIV/0!</v>
      </c>
      <c r="N7" s="24"/>
      <c r="O7" s="24"/>
      <c r="P7" s="24"/>
      <c r="Q7" s="26" t="e">
        <f t="shared" si="0"/>
        <v>#DIV/0!</v>
      </c>
    </row>
    <row r="8" spans="1:17" x14ac:dyDescent="0.25">
      <c r="A8" s="23" t="s">
        <v>0</v>
      </c>
      <c r="B8" s="24">
        <v>1.1499999999999999E-12</v>
      </c>
      <c r="C8" s="24">
        <v>2.6271702000000001E-12</v>
      </c>
      <c r="D8" s="24">
        <v>8.1800000000000005E-7</v>
      </c>
      <c r="E8" s="24">
        <v>3.281043672E-6</v>
      </c>
      <c r="F8" s="24">
        <v>1.7630644342973101E-6</v>
      </c>
      <c r="G8" s="24">
        <v>393065.611510791</v>
      </c>
      <c r="H8" s="27">
        <v>220.01128399999999</v>
      </c>
      <c r="I8" s="24">
        <v>12620</v>
      </c>
      <c r="J8" s="24">
        <v>2000</v>
      </c>
      <c r="K8" s="24">
        <v>7500</v>
      </c>
      <c r="L8" s="24">
        <v>0.106</v>
      </c>
      <c r="M8" s="26">
        <f t="shared" si="1"/>
        <v>4.333037685266742</v>
      </c>
      <c r="N8" s="24">
        <v>211.45</v>
      </c>
      <c r="O8" s="24">
        <v>378</v>
      </c>
      <c r="P8" s="24">
        <v>4326.0038240917784</v>
      </c>
      <c r="Q8" s="26">
        <f t="shared" si="0"/>
        <v>4797.7204626075873</v>
      </c>
    </row>
    <row r="9" spans="1:17" x14ac:dyDescent="0.25">
      <c r="A9" s="23" t="s">
        <v>101</v>
      </c>
      <c r="B9" s="24">
        <v>1.13E-10</v>
      </c>
      <c r="C9" s="24">
        <v>4.6121432399999999E-10</v>
      </c>
      <c r="D9" s="24">
        <v>6.1099999999999994E-5</v>
      </c>
      <c r="E9" s="24">
        <v>6.0366533039999998E-4</v>
      </c>
      <c r="F9" s="24">
        <v>1.15201674277017E-4</v>
      </c>
      <c r="G9" s="24">
        <v>6015.5375722543304</v>
      </c>
      <c r="H9" s="27"/>
      <c r="I9" s="24"/>
      <c r="J9" s="24"/>
      <c r="K9" s="24"/>
      <c r="L9" s="24"/>
      <c r="M9" s="26" t="e">
        <f t="shared" si="1"/>
        <v>#DIV/0!</v>
      </c>
      <c r="N9" s="24"/>
      <c r="O9" s="24"/>
      <c r="P9" s="24"/>
      <c r="Q9" s="26" t="e">
        <f t="shared" si="0"/>
        <v>#DIV/0!</v>
      </c>
    </row>
    <row r="10" spans="1:17" x14ac:dyDescent="0.25">
      <c r="A10" s="23" t="s">
        <v>102</v>
      </c>
      <c r="B10" s="24">
        <v>6.29E-10</v>
      </c>
      <c r="C10" s="24">
        <v>5.5696008239999998E-10</v>
      </c>
      <c r="D10" s="24">
        <v>3.8900000000000002E-4</v>
      </c>
      <c r="E10" s="24">
        <v>7.1342266320000003E-4</v>
      </c>
      <c r="F10" s="24">
        <v>1.2146118721461201E-3</v>
      </c>
      <c r="G10" s="24">
        <v>570.55263157894694</v>
      </c>
      <c r="H10" s="27"/>
      <c r="I10" s="24"/>
      <c r="J10" s="24"/>
      <c r="K10" s="24"/>
      <c r="L10" s="24"/>
      <c r="M10" s="26" t="e">
        <f t="shared" si="1"/>
        <v>#DIV/0!</v>
      </c>
      <c r="N10" s="24"/>
      <c r="O10" s="24"/>
      <c r="P10" s="24"/>
      <c r="Q10" s="26" t="e">
        <f t="shared" si="0"/>
        <v>#DIV/0!</v>
      </c>
    </row>
    <row r="11" spans="1:17" x14ac:dyDescent="0.25">
      <c r="A11" s="23" t="s">
        <v>103</v>
      </c>
      <c r="B11" s="24">
        <v>0</v>
      </c>
      <c r="C11" s="24">
        <v>0</v>
      </c>
      <c r="D11" s="24">
        <v>0</v>
      </c>
      <c r="E11" s="24">
        <v>0</v>
      </c>
      <c r="F11" s="24">
        <v>9.4812278031456105E-15</v>
      </c>
      <c r="G11" s="24">
        <v>73091799331103.703</v>
      </c>
      <c r="H11" s="27"/>
      <c r="I11" s="24"/>
      <c r="J11" s="24"/>
      <c r="K11" s="24"/>
      <c r="L11" s="24"/>
      <c r="M11" s="26" t="e">
        <f t="shared" si="1"/>
        <v>#DIV/0!</v>
      </c>
      <c r="N11" s="24"/>
      <c r="O11" s="24"/>
      <c r="P11" s="24"/>
      <c r="Q11" s="26" t="e">
        <f t="shared" si="0"/>
        <v>#DIV/0!</v>
      </c>
    </row>
    <row r="12" spans="1:17" x14ac:dyDescent="0.25">
      <c r="A12" s="23" t="s">
        <v>104</v>
      </c>
      <c r="B12" s="24">
        <v>0</v>
      </c>
      <c r="C12" s="24">
        <v>6.5854399679999995E-14</v>
      </c>
      <c r="D12" s="24">
        <v>0</v>
      </c>
      <c r="E12" s="24">
        <v>8.1734184000000002E-8</v>
      </c>
      <c r="F12" s="24">
        <v>4.59791983764586E-9</v>
      </c>
      <c r="G12" s="24">
        <v>150720331.03448299</v>
      </c>
      <c r="H12" s="27"/>
      <c r="I12" s="24"/>
      <c r="J12" s="24"/>
      <c r="K12" s="24"/>
      <c r="L12" s="24"/>
      <c r="M12" s="26" t="e">
        <f t="shared" si="1"/>
        <v>#DIV/0!</v>
      </c>
      <c r="N12" s="24"/>
      <c r="O12" s="24"/>
      <c r="P12" s="24"/>
      <c r="Q12" s="26" t="e">
        <f t="shared" si="0"/>
        <v>#DIV/0!</v>
      </c>
    </row>
    <row r="13" spans="1:17" x14ac:dyDescent="0.25">
      <c r="A13" s="23" t="s">
        <v>105</v>
      </c>
      <c r="B13" s="24">
        <v>0</v>
      </c>
      <c r="C13" s="24">
        <v>1.5879784319999999E-8</v>
      </c>
      <c r="D13" s="24">
        <v>0</v>
      </c>
      <c r="E13" s="24">
        <v>1.9616204160000001E-2</v>
      </c>
      <c r="F13" s="24">
        <v>5.8085996955860003E-6</v>
      </c>
      <c r="G13" s="24">
        <v>119305.86308549</v>
      </c>
      <c r="H13" s="27"/>
      <c r="I13" s="24"/>
      <c r="J13" s="24"/>
      <c r="K13" s="24"/>
      <c r="L13" s="24"/>
      <c r="M13" s="26" t="e">
        <f t="shared" si="1"/>
        <v>#DIV/0!</v>
      </c>
      <c r="N13" s="24"/>
      <c r="O13" s="24"/>
      <c r="P13" s="24"/>
      <c r="Q13" s="26" t="e">
        <f t="shared" si="0"/>
        <v>#DIV/0!</v>
      </c>
    </row>
    <row r="14" spans="1:17" x14ac:dyDescent="0.25">
      <c r="A14" s="23" t="s">
        <v>1</v>
      </c>
      <c r="B14" s="24">
        <v>2.28E-12</v>
      </c>
      <c r="C14" s="24">
        <v>1.6230073680000001E-12</v>
      </c>
      <c r="D14" s="24">
        <v>6.55E-6</v>
      </c>
      <c r="E14" s="24">
        <v>2.0200019760000001E-6</v>
      </c>
      <c r="F14" s="24">
        <v>1.04753424657534E-2</v>
      </c>
      <c r="G14" s="24">
        <v>66.155355041192607</v>
      </c>
      <c r="H14" s="27">
        <v>222.01757000000001</v>
      </c>
      <c r="I14" s="24">
        <v>12620</v>
      </c>
      <c r="J14" s="24">
        <v>2000</v>
      </c>
      <c r="K14" s="24">
        <v>5000</v>
      </c>
      <c r="L14" s="24">
        <v>0.106</v>
      </c>
      <c r="M14" s="26">
        <f t="shared" si="1"/>
        <v>4.333037685266742</v>
      </c>
      <c r="N14" s="24">
        <v>211.45</v>
      </c>
      <c r="O14" s="24">
        <v>378</v>
      </c>
      <c r="P14" s="24">
        <v>4326.0038240917784</v>
      </c>
      <c r="Q14" s="26">
        <f t="shared" si="0"/>
        <v>4797.7204626075873</v>
      </c>
    </row>
    <row r="15" spans="1:17" x14ac:dyDescent="0.25">
      <c r="A15" s="23" t="s">
        <v>108</v>
      </c>
      <c r="B15" s="24">
        <v>0</v>
      </c>
      <c r="C15" s="24">
        <v>3.0799999999999999E-14</v>
      </c>
      <c r="D15" s="24">
        <v>0</v>
      </c>
      <c r="E15" s="24">
        <v>1.144278576E-7</v>
      </c>
      <c r="F15" s="24">
        <v>4.7564687975646899E-8</v>
      </c>
      <c r="G15" s="24">
        <v>14569632</v>
      </c>
      <c r="H15" s="23"/>
      <c r="I15" s="23"/>
      <c r="J15" s="23"/>
      <c r="K15" s="23"/>
      <c r="L15" s="23"/>
      <c r="M15" s="26" t="e">
        <f t="shared" si="1"/>
        <v>#DIV/0!</v>
      </c>
      <c r="N15" s="28"/>
      <c r="O15" s="23"/>
      <c r="P15" s="23"/>
      <c r="Q15" s="26" t="e">
        <f t="shared" si="0"/>
        <v>#DIV/0!</v>
      </c>
    </row>
    <row r="16" spans="1:17" x14ac:dyDescent="0.25">
      <c r="A16" s="23" t="s">
        <v>173</v>
      </c>
      <c r="B16" s="24">
        <v>4.5499999999999998E-10</v>
      </c>
      <c r="C16" s="24">
        <v>5.2900000000000003E-12</v>
      </c>
      <c r="D16" s="24">
        <v>5.4000000000000001E-4</v>
      </c>
      <c r="E16" s="24">
        <v>3.01E-5</v>
      </c>
      <c r="F16" s="24">
        <v>50.5</v>
      </c>
      <c r="G16" s="24">
        <v>1.37E-2</v>
      </c>
      <c r="H16" s="23"/>
      <c r="I16" s="23"/>
      <c r="J16" s="23"/>
      <c r="K16" s="23"/>
      <c r="L16" s="23"/>
      <c r="M16" s="26"/>
      <c r="N16" s="28"/>
      <c r="O16" s="23"/>
      <c r="P16" s="23"/>
      <c r="Q16" s="26"/>
    </row>
    <row r="17" spans="1:17" x14ac:dyDescent="0.25">
      <c r="A17" s="23" t="s">
        <v>109</v>
      </c>
      <c r="B17" s="24">
        <v>6.1799999999999996E-11</v>
      </c>
      <c r="C17" s="24">
        <v>6.6899999999999999E-9</v>
      </c>
      <c r="D17" s="24">
        <v>3.6600000000000002E-5</v>
      </c>
      <c r="E17" s="24">
        <v>8.3018578319999994E-3</v>
      </c>
      <c r="F17" s="24">
        <v>3.7861491628614902E-5</v>
      </c>
      <c r="G17" s="24">
        <v>18303.557788944701</v>
      </c>
      <c r="H17" s="23"/>
      <c r="I17" s="23"/>
      <c r="J17" s="23"/>
      <c r="K17" s="23"/>
      <c r="L17" s="23"/>
      <c r="M17" s="26" t="e">
        <f t="shared" si="1"/>
        <v>#DIV/0!</v>
      </c>
      <c r="N17" s="23"/>
      <c r="O17" s="23"/>
      <c r="P17" s="23"/>
      <c r="Q17" s="26" t="e">
        <f t="shared" si="0"/>
        <v>#DIV/0!</v>
      </c>
    </row>
    <row r="18" spans="1:17" x14ac:dyDescent="0.25">
      <c r="A18" s="23" t="s">
        <v>174</v>
      </c>
      <c r="B18" s="24">
        <v>0</v>
      </c>
      <c r="C18" s="24">
        <v>4.9600000000000004E-10</v>
      </c>
      <c r="D18" s="24">
        <v>0</v>
      </c>
      <c r="E18" s="24">
        <v>6.4899999999999995E-4</v>
      </c>
      <c r="F18" s="24">
        <v>44700</v>
      </c>
      <c r="G18" s="24">
        <v>1.5500000000000001E-5</v>
      </c>
      <c r="H18" s="23"/>
      <c r="I18" s="23"/>
      <c r="J18" s="23"/>
      <c r="K18" s="23"/>
      <c r="L18" s="23"/>
      <c r="M18" s="26"/>
      <c r="N18" s="23"/>
      <c r="O18" s="23"/>
      <c r="P18" s="23"/>
      <c r="Q18" s="26"/>
    </row>
    <row r="19" spans="1:17" x14ac:dyDescent="0.25">
      <c r="A19" s="23" t="s">
        <v>175</v>
      </c>
      <c r="B19" s="24">
        <v>1.59E-8</v>
      </c>
      <c r="C19" s="24">
        <v>3.9299999999999996E-12</v>
      </c>
      <c r="D19" s="24">
        <v>2.23E-2</v>
      </c>
      <c r="E19" s="24">
        <v>5.4999999999999999E-6</v>
      </c>
      <c r="F19" s="24">
        <v>3.1199999999999999E-2</v>
      </c>
      <c r="G19" s="24">
        <v>22.2</v>
      </c>
      <c r="H19" s="23"/>
      <c r="I19" s="23"/>
      <c r="J19" s="23"/>
      <c r="K19" s="23"/>
      <c r="L19" s="23"/>
      <c r="M19" s="26"/>
      <c r="N19" s="23"/>
      <c r="O19" s="23"/>
      <c r="P19" s="23"/>
      <c r="Q19" s="26"/>
    </row>
    <row r="20" spans="1:17" x14ac:dyDescent="0.25">
      <c r="A20" s="23" t="s">
        <v>107</v>
      </c>
      <c r="B20" s="24">
        <v>7.7700000000000001E-11</v>
      </c>
      <c r="C20" s="24">
        <v>1.02E-9</v>
      </c>
      <c r="D20" s="24">
        <v>4.6600000000000001E-5</v>
      </c>
      <c r="E20" s="24">
        <v>1.2960706319999999E-3</v>
      </c>
      <c r="F20" s="24">
        <v>5.0989345509893397E-5</v>
      </c>
      <c r="G20" s="24">
        <v>13591.0746268657</v>
      </c>
      <c r="H20" s="23"/>
      <c r="I20" s="23"/>
      <c r="J20" s="23"/>
      <c r="K20" s="23"/>
      <c r="L20" s="23"/>
      <c r="M20" s="26" t="e">
        <f t="shared" si="1"/>
        <v>#DIV/0!</v>
      </c>
      <c r="N20" s="23"/>
      <c r="O20" s="23"/>
      <c r="P20" s="23"/>
      <c r="Q20" s="26" t="e">
        <f t="shared" si="0"/>
        <v>#DIV/0!</v>
      </c>
    </row>
    <row r="21" spans="1:17" x14ac:dyDescent="0.25">
      <c r="A21" s="23" t="s">
        <v>176</v>
      </c>
      <c r="B21" s="24">
        <v>1.4500000000000001E-8</v>
      </c>
      <c r="C21" s="24">
        <v>4.1800000000000002E-14</v>
      </c>
      <c r="D21" s="24">
        <v>1.7299999999999999E-2</v>
      </c>
      <c r="E21" s="24">
        <v>5.2000000000000002E-8</v>
      </c>
      <c r="F21" s="24">
        <v>1.83</v>
      </c>
      <c r="G21" s="24">
        <v>0.379</v>
      </c>
      <c r="H21" s="23"/>
      <c r="I21" s="23"/>
      <c r="J21" s="23"/>
      <c r="K21" s="23"/>
      <c r="L21" s="23"/>
      <c r="M21" s="26"/>
      <c r="N21" s="23"/>
      <c r="O21" s="23"/>
      <c r="P21" s="23"/>
      <c r="Q21" s="26"/>
    </row>
    <row r="22" spans="1:17" x14ac:dyDescent="0.25">
      <c r="A22" s="23" t="s">
        <v>111</v>
      </c>
      <c r="B22" s="24">
        <v>0</v>
      </c>
      <c r="C22" s="24">
        <v>3.5699999999999999E-13</v>
      </c>
      <c r="D22" s="24">
        <v>0</v>
      </c>
      <c r="E22" s="24">
        <v>4.4369985599999999E-7</v>
      </c>
      <c r="F22" s="24">
        <v>5.20991882293252E-12</v>
      </c>
      <c r="G22" s="24">
        <v>133015508216.677</v>
      </c>
      <c r="H22" s="23"/>
      <c r="I22" s="23"/>
      <c r="J22" s="23"/>
      <c r="K22" s="23"/>
      <c r="L22" s="23"/>
      <c r="M22" s="26" t="e">
        <f t="shared" si="1"/>
        <v>#DIV/0!</v>
      </c>
      <c r="N22" s="23"/>
      <c r="O22" s="23"/>
      <c r="P22" s="23"/>
      <c r="Q22" s="26" t="e">
        <f t="shared" si="0"/>
        <v>#DIV/0!</v>
      </c>
    </row>
    <row r="23" spans="1:17" x14ac:dyDescent="0.25">
      <c r="A23" s="23" t="s">
        <v>106</v>
      </c>
      <c r="B23" s="24">
        <v>1.39E-11</v>
      </c>
      <c r="C23" s="24">
        <v>3.9500000000000001E-17</v>
      </c>
      <c r="D23" s="24">
        <v>7.6199999999999999E-6</v>
      </c>
      <c r="E23" s="24">
        <v>3.0591937440000002E-10</v>
      </c>
      <c r="F23" s="24">
        <v>5.8980213089802101E-6</v>
      </c>
      <c r="G23" s="24">
        <v>117497.032258065</v>
      </c>
      <c r="H23" s="23"/>
      <c r="I23" s="23"/>
      <c r="J23" s="23"/>
      <c r="K23" s="23"/>
      <c r="L23" s="23"/>
      <c r="M23" s="26" t="e">
        <f t="shared" si="1"/>
        <v>#DIV/0!</v>
      </c>
      <c r="N23" s="23"/>
      <c r="O23" s="23"/>
      <c r="P23" s="23"/>
      <c r="Q23" s="26" t="e">
        <f t="shared" si="0"/>
        <v>#DIV/0!</v>
      </c>
    </row>
    <row r="24" spans="1:17" x14ac:dyDescent="0.25">
      <c r="A24" s="23" t="s">
        <v>110</v>
      </c>
      <c r="B24" s="24">
        <v>0</v>
      </c>
      <c r="C24" s="24">
        <v>3.1899999999999999E-12</v>
      </c>
      <c r="D24" s="24">
        <v>0</v>
      </c>
      <c r="E24" s="24">
        <v>3.9699460800000002E-6</v>
      </c>
      <c r="F24" s="24">
        <v>1.1098427194317601E-9</v>
      </c>
      <c r="G24" s="24">
        <v>624412800</v>
      </c>
      <c r="H24" s="23"/>
      <c r="I24" s="23"/>
      <c r="J24" s="23"/>
      <c r="K24" s="23"/>
      <c r="L24" s="23"/>
      <c r="M24" s="26" t="e">
        <f t="shared" si="1"/>
        <v>#DIV/0!</v>
      </c>
      <c r="N24" s="23"/>
      <c r="O24" s="23"/>
      <c r="P24" s="23"/>
      <c r="Q24" s="26" t="e">
        <f t="shared" si="0"/>
        <v>#DIV/0!</v>
      </c>
    </row>
    <row r="25" spans="1:17" x14ac:dyDescent="0.25">
      <c r="A25" s="23" t="s">
        <v>177</v>
      </c>
      <c r="B25" s="24">
        <v>0</v>
      </c>
      <c r="C25" s="24">
        <v>9.3999999999999995E-12</v>
      </c>
      <c r="D25" s="24">
        <v>0</v>
      </c>
      <c r="E25" s="24">
        <v>4.6400000000000003E-5</v>
      </c>
      <c r="F25" s="24">
        <v>86700</v>
      </c>
      <c r="G25" s="24">
        <v>7.9899999999999997E-6</v>
      </c>
      <c r="H25" s="23"/>
      <c r="I25" s="23"/>
      <c r="J25" s="23"/>
      <c r="K25" s="23"/>
      <c r="L25" s="23"/>
      <c r="M25" s="26"/>
      <c r="N25" s="23"/>
      <c r="O25" s="23"/>
      <c r="P25" s="23"/>
      <c r="Q25" s="26"/>
    </row>
    <row r="26" spans="1:17" x14ac:dyDescent="0.25">
      <c r="A26" s="23" t="s">
        <v>112</v>
      </c>
      <c r="B26" s="24">
        <v>0</v>
      </c>
      <c r="C26" s="24">
        <v>1.24E-8</v>
      </c>
      <c r="D26" s="24">
        <v>0</v>
      </c>
      <c r="E26" s="24">
        <v>1.5412731840000001E-2</v>
      </c>
      <c r="F26" s="24">
        <v>2.4733637747336398E-6</v>
      </c>
      <c r="G26" s="24">
        <v>280185.23076923098</v>
      </c>
      <c r="H26" s="23"/>
      <c r="I26" s="23"/>
      <c r="J26" s="23"/>
      <c r="K26" s="23"/>
      <c r="L26" s="23"/>
      <c r="M26" s="26" t="e">
        <f t="shared" si="1"/>
        <v>#DIV/0!</v>
      </c>
      <c r="N26" s="23"/>
      <c r="O26" s="23"/>
      <c r="P26" s="23"/>
      <c r="Q26" s="26" t="e">
        <f t="shared" si="0"/>
        <v>#DIV/0!</v>
      </c>
    </row>
  </sheetData>
  <sheetProtection algorithmName="SHA-512" hashValue="/0bi9VBZwOmJsI7cl9j/c6vw0dvb90BfH/ZABJb/UjOPI3ITRExqesZCzQDOgaLafMy8WrFsdUU1AJzPyFl72w==" saltValue="AWqSLWHyOT/8259J6wsOUQ==" spinCount="100000" sheet="1" objects="1" scenarios="1"/>
  <autoFilter ref="A1:Q26" xr:uid="{3C77DD68-EF4F-4108-B623-F604C578F305}">
    <sortState xmlns:xlrd2="http://schemas.microsoft.com/office/spreadsheetml/2017/richdata2" ref="A2:Q26">
      <sortCondition ref="A1:A26"/>
    </sortState>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D5C23-0FFF-4054-A9DB-476F573BD7C5}">
  <dimension ref="A1:Q26"/>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140625" defaultRowHeight="15" x14ac:dyDescent="0.25"/>
  <cols>
    <col min="1" max="1" width="14.140625" style="29" bestFit="1" customWidth="1"/>
    <col min="2" max="2" width="8.5703125" style="29" bestFit="1" customWidth="1"/>
    <col min="3" max="3" width="10.85546875" style="29" bestFit="1" customWidth="1"/>
    <col min="4" max="4" width="14.140625" style="29" bestFit="1" customWidth="1"/>
    <col min="5" max="5" width="15.140625" style="29" bestFit="1" customWidth="1"/>
    <col min="6" max="6" width="12.28515625" style="29" bestFit="1" customWidth="1"/>
    <col min="7" max="7" width="11" style="29" bestFit="1" customWidth="1"/>
    <col min="8" max="10" width="8.5703125" style="29" bestFit="1" customWidth="1"/>
    <col min="11" max="11" width="8.28515625" style="29" bestFit="1" customWidth="1"/>
    <col min="12" max="12" width="8.5703125" style="29" bestFit="1" customWidth="1"/>
    <col min="13" max="13" width="8.7109375" style="29" bestFit="1" customWidth="1"/>
    <col min="14" max="16" width="8.5703125" style="29" bestFit="1" customWidth="1"/>
    <col min="17" max="17" width="12" style="29" bestFit="1" customWidth="1"/>
    <col min="18" max="16384" width="9.140625" style="29"/>
  </cols>
  <sheetData>
    <row r="1" spans="1:17" x14ac:dyDescent="0.25">
      <c r="A1" s="17" t="s">
        <v>158</v>
      </c>
      <c r="B1" s="18" t="s">
        <v>2</v>
      </c>
      <c r="C1" s="18" t="s">
        <v>3</v>
      </c>
      <c r="D1" s="19" t="s">
        <v>113</v>
      </c>
      <c r="E1" s="19" t="s">
        <v>87</v>
      </c>
      <c r="F1" s="20" t="s">
        <v>19</v>
      </c>
      <c r="G1" s="21" t="s">
        <v>20</v>
      </c>
      <c r="H1" s="22" t="s">
        <v>59</v>
      </c>
      <c r="I1" s="22" t="s">
        <v>60</v>
      </c>
      <c r="J1" s="22" t="s">
        <v>61</v>
      </c>
      <c r="K1" s="22" t="s">
        <v>62</v>
      </c>
      <c r="L1" s="22" t="s">
        <v>63</v>
      </c>
      <c r="M1" s="22" t="s">
        <v>65</v>
      </c>
      <c r="N1" s="22" t="s">
        <v>66</v>
      </c>
      <c r="O1" s="22" t="s">
        <v>67</v>
      </c>
      <c r="P1" s="22" t="s">
        <v>68</v>
      </c>
      <c r="Q1" s="22" t="s">
        <v>123</v>
      </c>
    </row>
    <row r="2" spans="1:17" x14ac:dyDescent="0.25">
      <c r="A2" s="23" t="s">
        <v>82</v>
      </c>
      <c r="B2" s="24">
        <v>0</v>
      </c>
      <c r="C2" s="24">
        <v>2.3819676480000001E-10</v>
      </c>
      <c r="D2" s="24">
        <v>0</v>
      </c>
      <c r="E2" s="24">
        <v>2.9891358719999998E-4</v>
      </c>
      <c r="F2" s="24">
        <v>1.2557077625570801E-7</v>
      </c>
      <c r="G2" s="24">
        <v>5518800</v>
      </c>
      <c r="H2" s="25">
        <v>219.00899999999999</v>
      </c>
      <c r="I2" s="24">
        <v>12620</v>
      </c>
      <c r="J2" s="24">
        <v>2000</v>
      </c>
      <c r="K2" s="22"/>
      <c r="L2" s="24">
        <v>0.106</v>
      </c>
      <c r="M2" s="26">
        <f>(EXP(-((Q2/1.987)*((1/s_TgwK)-(1/298.15))))*L2)/(0.00008205*s_TgwK)</f>
        <v>3.6320574681698901</v>
      </c>
      <c r="N2" s="24">
        <v>211.45</v>
      </c>
      <c r="O2" s="24">
        <v>378</v>
      </c>
      <c r="P2" s="24">
        <v>4326.0038240917784</v>
      </c>
      <c r="Q2" s="26">
        <f>P2*(((1-s_TgwK/O2)/(1-N2/O2))^(IF(N2/O2&lt;0.57,0.3,IF(N2/O2&gt;0.71,0.41,IF(AND(N2/O2&gt;0.57,N2/O2&lt;=0.71),(0.74*(N2/O2)-0.116))))))</f>
        <v>3594.8347593103185</v>
      </c>
    </row>
    <row r="3" spans="1:17" x14ac:dyDescent="0.25">
      <c r="A3" s="23" t="s">
        <v>96</v>
      </c>
      <c r="B3" s="24">
        <v>0</v>
      </c>
      <c r="C3" s="24">
        <v>1.914915168E-10</v>
      </c>
      <c r="D3" s="24">
        <v>0</v>
      </c>
      <c r="E3" s="24">
        <v>2.416996584E-4</v>
      </c>
      <c r="F3" s="24">
        <v>4.0715372907153704E-6</v>
      </c>
      <c r="G3" s="24">
        <v>170205.98130841099</v>
      </c>
      <c r="H3" s="25"/>
      <c r="I3" s="24"/>
      <c r="J3" s="24"/>
      <c r="K3" s="22"/>
      <c r="L3" s="24"/>
      <c r="M3" s="26" t="e">
        <f t="shared" ref="M3:M13" si="0">(EXP(-((Q3/1.987)*((1/s_TgwK)-(1/298.15))))*L3)/(0.00008205*s_TgwK)</f>
        <v>#DIV/0!</v>
      </c>
      <c r="N3" s="24"/>
      <c r="O3" s="24"/>
      <c r="P3" s="24"/>
      <c r="Q3" s="26" t="e">
        <f t="shared" ref="Q3:Q13" si="1">P3*(((1-s_TgwK/O3)/(1-N3/O3))^(IF(N3/O3&lt;0.57,0.3,IF(N3/O3&gt;0.71,0.41,IF(AND(N3/O3&gt;0.57,N3/O3&lt;=0.71),(0.74*(N3/O3)-0.116))))))</f>
        <v>#DIV/0!</v>
      </c>
    </row>
    <row r="4" spans="1:17" x14ac:dyDescent="0.25">
      <c r="A4" s="23" t="s">
        <v>97</v>
      </c>
      <c r="B4" s="24">
        <v>4.0329999999999998E-11</v>
      </c>
      <c r="C4" s="24">
        <v>2.7906385679999999E-10</v>
      </c>
      <c r="D4" s="24">
        <v>5.0319999999999999E-5</v>
      </c>
      <c r="E4" s="24">
        <v>3.7597724640000001E-4</v>
      </c>
      <c r="F4" s="24">
        <v>6.8683409436834107E-5</v>
      </c>
      <c r="G4" s="24">
        <v>10089.772853185599</v>
      </c>
      <c r="H4" s="25"/>
      <c r="I4" s="24"/>
      <c r="J4" s="24"/>
      <c r="K4" s="22"/>
      <c r="L4" s="24"/>
      <c r="M4" s="26" t="e">
        <f t="shared" si="0"/>
        <v>#DIV/0!</v>
      </c>
      <c r="N4" s="24"/>
      <c r="O4" s="24"/>
      <c r="P4" s="24"/>
      <c r="Q4" s="26" t="e">
        <f t="shared" si="1"/>
        <v>#DIV/0!</v>
      </c>
    </row>
    <row r="5" spans="1:17" x14ac:dyDescent="0.25">
      <c r="A5" s="23" t="s">
        <v>98</v>
      </c>
      <c r="B5" s="24">
        <v>0</v>
      </c>
      <c r="C5" s="24">
        <v>3.5028936E-11</v>
      </c>
      <c r="D5" s="24">
        <v>0</v>
      </c>
      <c r="E5" s="24">
        <v>4.3552643759999998E-5</v>
      </c>
      <c r="F5" s="24">
        <v>1.63622526636225E-8</v>
      </c>
      <c r="G5" s="24">
        <v>42353581.395348802</v>
      </c>
      <c r="H5" s="25"/>
      <c r="I5" s="24"/>
      <c r="J5" s="24"/>
      <c r="K5" s="22"/>
      <c r="L5" s="24"/>
      <c r="M5" s="26" t="e">
        <f t="shared" si="0"/>
        <v>#DIV/0!</v>
      </c>
      <c r="N5" s="24"/>
      <c r="O5" s="24"/>
      <c r="P5" s="24"/>
      <c r="Q5" s="26" t="e">
        <f t="shared" si="1"/>
        <v>#DIV/0!</v>
      </c>
    </row>
    <row r="6" spans="1:17" x14ac:dyDescent="0.25">
      <c r="A6" s="23" t="s">
        <v>99</v>
      </c>
      <c r="B6" s="24">
        <v>0</v>
      </c>
      <c r="C6" s="24">
        <v>7.2860186880000001E-13</v>
      </c>
      <c r="D6" s="24">
        <v>0</v>
      </c>
      <c r="E6" s="24">
        <v>9.1075233600000003E-7</v>
      </c>
      <c r="F6" s="24">
        <v>5.6475139523084702E-11</v>
      </c>
      <c r="G6" s="24">
        <v>12270886019.090401</v>
      </c>
      <c r="H6" s="25"/>
      <c r="I6" s="24"/>
      <c r="J6" s="24"/>
      <c r="K6" s="22"/>
      <c r="L6" s="24"/>
      <c r="M6" s="26" t="e">
        <f t="shared" si="0"/>
        <v>#DIV/0!</v>
      </c>
      <c r="N6" s="24"/>
      <c r="O6" s="24"/>
      <c r="P6" s="24"/>
      <c r="Q6" s="26" t="e">
        <f t="shared" si="1"/>
        <v>#DIV/0!</v>
      </c>
    </row>
    <row r="7" spans="1:17" x14ac:dyDescent="0.25">
      <c r="A7" s="23" t="s">
        <v>100</v>
      </c>
      <c r="B7" s="24">
        <v>0</v>
      </c>
      <c r="C7" s="24">
        <v>1.8098283599999999E-11</v>
      </c>
      <c r="D7" s="24">
        <v>0</v>
      </c>
      <c r="E7" s="24">
        <v>5.3827798320000002E-5</v>
      </c>
      <c r="F7" s="24">
        <v>9.0753424657534201E-6</v>
      </c>
      <c r="G7" s="24">
        <v>76360.754716981101</v>
      </c>
      <c r="H7" s="25"/>
      <c r="I7" s="24"/>
      <c r="J7" s="24"/>
      <c r="K7" s="22"/>
      <c r="L7" s="24"/>
      <c r="M7" s="26" t="e">
        <f t="shared" si="0"/>
        <v>#DIV/0!</v>
      </c>
      <c r="N7" s="24"/>
      <c r="O7" s="24"/>
      <c r="P7" s="24"/>
      <c r="Q7" s="26" t="e">
        <f t="shared" si="1"/>
        <v>#DIV/0!</v>
      </c>
    </row>
    <row r="8" spans="1:17" x14ac:dyDescent="0.25">
      <c r="A8" s="23" t="s">
        <v>0</v>
      </c>
      <c r="B8" s="24">
        <v>1.1499999999999999E-12</v>
      </c>
      <c r="C8" s="24">
        <v>2.6271702000000001E-12</v>
      </c>
      <c r="D8" s="24">
        <v>8.1800000000000005E-7</v>
      </c>
      <c r="E8" s="24">
        <v>3.281043672E-6</v>
      </c>
      <c r="F8" s="24">
        <v>1.7630644342973101E-6</v>
      </c>
      <c r="G8" s="24">
        <v>393065.611510791</v>
      </c>
      <c r="H8" s="27">
        <v>220.01128399999999</v>
      </c>
      <c r="I8" s="24">
        <v>12620</v>
      </c>
      <c r="J8" s="24">
        <v>2000</v>
      </c>
      <c r="K8" s="24">
        <v>7500</v>
      </c>
      <c r="L8" s="24">
        <v>0.106</v>
      </c>
      <c r="M8" s="26">
        <f t="shared" si="0"/>
        <v>3.6320574681698901</v>
      </c>
      <c r="N8" s="24">
        <v>211.45</v>
      </c>
      <c r="O8" s="24">
        <v>378</v>
      </c>
      <c r="P8" s="24">
        <v>4326.0038240917784</v>
      </c>
      <c r="Q8" s="26">
        <f t="shared" si="1"/>
        <v>3594.8347593103185</v>
      </c>
    </row>
    <row r="9" spans="1:17" x14ac:dyDescent="0.25">
      <c r="A9" s="23" t="s">
        <v>101</v>
      </c>
      <c r="B9" s="24">
        <v>1.13E-10</v>
      </c>
      <c r="C9" s="24">
        <v>4.6121432399999999E-10</v>
      </c>
      <c r="D9" s="24">
        <v>6.1099999999999994E-5</v>
      </c>
      <c r="E9" s="24">
        <v>6.0366533039999998E-4</v>
      </c>
      <c r="F9" s="24">
        <v>1.15201674277017E-4</v>
      </c>
      <c r="G9" s="24">
        <v>6015.5375722543304</v>
      </c>
      <c r="H9" s="27"/>
      <c r="I9" s="24"/>
      <c r="J9" s="24"/>
      <c r="K9" s="24"/>
      <c r="L9" s="24"/>
      <c r="M9" s="26" t="e">
        <f t="shared" si="0"/>
        <v>#DIV/0!</v>
      </c>
      <c r="N9" s="24"/>
      <c r="O9" s="24"/>
      <c r="P9" s="24"/>
      <c r="Q9" s="26" t="e">
        <f t="shared" si="1"/>
        <v>#DIV/0!</v>
      </c>
    </row>
    <row r="10" spans="1:17" x14ac:dyDescent="0.25">
      <c r="A10" s="23" t="s">
        <v>102</v>
      </c>
      <c r="B10" s="24">
        <v>6.29E-10</v>
      </c>
      <c r="C10" s="24">
        <v>5.5696008239999998E-10</v>
      </c>
      <c r="D10" s="24">
        <v>3.8900000000000002E-4</v>
      </c>
      <c r="E10" s="24">
        <v>7.1342266320000003E-4</v>
      </c>
      <c r="F10" s="24">
        <v>1.2146118721461201E-3</v>
      </c>
      <c r="G10" s="24">
        <v>570.55263157894694</v>
      </c>
      <c r="H10" s="27"/>
      <c r="I10" s="24"/>
      <c r="J10" s="24"/>
      <c r="K10" s="24"/>
      <c r="L10" s="24"/>
      <c r="M10" s="26" t="e">
        <f t="shared" si="0"/>
        <v>#DIV/0!</v>
      </c>
      <c r="N10" s="24"/>
      <c r="O10" s="24"/>
      <c r="P10" s="24"/>
      <c r="Q10" s="26" t="e">
        <f t="shared" si="1"/>
        <v>#DIV/0!</v>
      </c>
    </row>
    <row r="11" spans="1:17" x14ac:dyDescent="0.25">
      <c r="A11" s="23" t="s">
        <v>103</v>
      </c>
      <c r="B11" s="24">
        <v>0</v>
      </c>
      <c r="C11" s="24">
        <v>0</v>
      </c>
      <c r="D11" s="24">
        <v>0</v>
      </c>
      <c r="E11" s="24">
        <v>0</v>
      </c>
      <c r="F11" s="24">
        <v>9.4812278031456105E-15</v>
      </c>
      <c r="G11" s="24">
        <v>73091799331103.703</v>
      </c>
      <c r="H11" s="27"/>
      <c r="I11" s="24"/>
      <c r="J11" s="24"/>
      <c r="K11" s="24"/>
      <c r="L11" s="24"/>
      <c r="M11" s="31" t="e">
        <f t="shared" si="0"/>
        <v>#DIV/0!</v>
      </c>
      <c r="N11" s="24"/>
      <c r="O11" s="24"/>
      <c r="P11" s="24"/>
      <c r="Q11" s="26" t="e">
        <f t="shared" si="1"/>
        <v>#DIV/0!</v>
      </c>
    </row>
    <row r="12" spans="1:17" x14ac:dyDescent="0.25">
      <c r="A12" s="23" t="s">
        <v>104</v>
      </c>
      <c r="B12" s="24">
        <v>0</v>
      </c>
      <c r="C12" s="24">
        <v>6.5854399679999995E-14</v>
      </c>
      <c r="D12" s="24">
        <v>0</v>
      </c>
      <c r="E12" s="24">
        <v>8.1734184000000002E-8</v>
      </c>
      <c r="F12" s="24">
        <v>4.59791983764586E-9</v>
      </c>
      <c r="G12" s="24">
        <v>150720331.03448299</v>
      </c>
      <c r="H12" s="27"/>
      <c r="I12" s="24"/>
      <c r="J12" s="24"/>
      <c r="K12" s="24"/>
      <c r="L12" s="24"/>
      <c r="M12" s="26" t="e">
        <f t="shared" si="0"/>
        <v>#DIV/0!</v>
      </c>
      <c r="N12" s="24"/>
      <c r="O12" s="24"/>
      <c r="P12" s="24"/>
      <c r="Q12" s="26" t="e">
        <f t="shared" si="1"/>
        <v>#DIV/0!</v>
      </c>
    </row>
    <row r="13" spans="1:17" x14ac:dyDescent="0.25">
      <c r="A13" s="23" t="s">
        <v>105</v>
      </c>
      <c r="B13" s="24">
        <v>0</v>
      </c>
      <c r="C13" s="24">
        <v>1.5879784319999999E-8</v>
      </c>
      <c r="D13" s="24">
        <v>0</v>
      </c>
      <c r="E13" s="24">
        <v>1.9616204160000001E-2</v>
      </c>
      <c r="F13" s="24">
        <v>5.8085996955860003E-6</v>
      </c>
      <c r="G13" s="24">
        <v>119305.86308549</v>
      </c>
      <c r="H13" s="27"/>
      <c r="I13" s="24"/>
      <c r="J13" s="24"/>
      <c r="K13" s="24"/>
      <c r="L13" s="24"/>
      <c r="M13" s="26" t="e">
        <f t="shared" si="0"/>
        <v>#DIV/0!</v>
      </c>
      <c r="N13" s="24"/>
      <c r="O13" s="24"/>
      <c r="P13" s="24"/>
      <c r="Q13" s="26" t="e">
        <f t="shared" si="1"/>
        <v>#DIV/0!</v>
      </c>
    </row>
    <row r="14" spans="1:17" x14ac:dyDescent="0.25">
      <c r="A14" s="23" t="s">
        <v>1</v>
      </c>
      <c r="B14" s="24">
        <v>2.28E-12</v>
      </c>
      <c r="C14" s="24">
        <v>1.6230073680000001E-12</v>
      </c>
      <c r="D14" s="24">
        <v>6.55E-6</v>
      </c>
      <c r="E14" s="24">
        <v>2.0200019760000001E-6</v>
      </c>
      <c r="F14" s="24">
        <v>1.04753424657534E-2</v>
      </c>
      <c r="G14" s="24">
        <v>66.155355041192607</v>
      </c>
      <c r="H14" s="27">
        <v>222.01757000000001</v>
      </c>
      <c r="I14" s="24">
        <v>12620</v>
      </c>
      <c r="J14" s="24">
        <v>2000</v>
      </c>
      <c r="K14" s="24">
        <v>5000</v>
      </c>
      <c r="L14" s="24">
        <v>0.106</v>
      </c>
      <c r="M14" s="26">
        <f t="shared" ref="M14:M26" si="2">(EXP((-Q14/1.9872)*((1/TgwK)-(1/298.15)))*L14)/(0.00008205*TgwK)</f>
        <v>4.333037685266742</v>
      </c>
      <c r="N14" s="24">
        <v>211.45</v>
      </c>
      <c r="O14" s="24">
        <v>378</v>
      </c>
      <c r="P14" s="24">
        <v>4326.0038240917784</v>
      </c>
      <c r="Q14" s="26">
        <f t="shared" ref="Q14:Q26" si="3">P14*((((1-TgwK)/O14)/((1-N14)/O14))^(IF(N14/O14&lt;0.57,0.3,IF(N14/O14&gt;0.71,0.41,IF(AND(N14/O14&gt;0.57,N14/O14&lt;=0.71),0.74*N14/O14-0.116)))))</f>
        <v>4797.7204626075873</v>
      </c>
    </row>
    <row r="15" spans="1:17" x14ac:dyDescent="0.25">
      <c r="A15" s="23" t="s">
        <v>108</v>
      </c>
      <c r="B15" s="24">
        <v>0</v>
      </c>
      <c r="C15" s="24">
        <v>3.0799999999999999E-14</v>
      </c>
      <c r="D15" s="24">
        <v>0</v>
      </c>
      <c r="E15" s="24">
        <v>1.144278576E-7</v>
      </c>
      <c r="F15" s="24">
        <v>4.7564687975646899E-8</v>
      </c>
      <c r="G15" s="24">
        <v>14569632</v>
      </c>
      <c r="H15" s="23"/>
      <c r="I15" s="23"/>
      <c r="J15" s="23"/>
      <c r="K15" s="23"/>
      <c r="L15" s="23"/>
      <c r="M15" s="26" t="e">
        <f t="shared" si="2"/>
        <v>#DIV/0!</v>
      </c>
      <c r="N15" s="28"/>
      <c r="O15" s="23"/>
      <c r="P15" s="23"/>
      <c r="Q15" s="26" t="e">
        <f t="shared" si="3"/>
        <v>#DIV/0!</v>
      </c>
    </row>
    <row r="16" spans="1:17" x14ac:dyDescent="0.25">
      <c r="A16" s="23" t="s">
        <v>173</v>
      </c>
      <c r="B16" s="24">
        <v>4.5499999999999998E-10</v>
      </c>
      <c r="C16" s="24">
        <v>5.2900000000000003E-12</v>
      </c>
      <c r="D16" s="24">
        <v>5.4000000000000001E-4</v>
      </c>
      <c r="E16" s="24">
        <v>3.01E-5</v>
      </c>
      <c r="F16" s="24">
        <v>50.5</v>
      </c>
      <c r="G16" s="24">
        <v>1.37E-2</v>
      </c>
      <c r="H16" s="23"/>
      <c r="I16" s="23"/>
      <c r="J16" s="23"/>
      <c r="K16" s="23"/>
      <c r="L16" s="23"/>
      <c r="M16" s="26"/>
      <c r="N16" s="28"/>
      <c r="O16" s="23"/>
      <c r="P16" s="23"/>
      <c r="Q16" s="26"/>
    </row>
    <row r="17" spans="1:17" x14ac:dyDescent="0.25">
      <c r="A17" s="23" t="s">
        <v>109</v>
      </c>
      <c r="B17" s="24">
        <v>6.1799999999999996E-11</v>
      </c>
      <c r="C17" s="24">
        <v>6.6899999999999999E-9</v>
      </c>
      <c r="D17" s="24">
        <v>3.6600000000000002E-5</v>
      </c>
      <c r="E17" s="24">
        <v>8.3018578319999994E-3</v>
      </c>
      <c r="F17" s="24">
        <v>3.7861491628614902E-5</v>
      </c>
      <c r="G17" s="24">
        <v>18303.557788944701</v>
      </c>
      <c r="H17" s="23"/>
      <c r="I17" s="23"/>
      <c r="J17" s="23"/>
      <c r="K17" s="23"/>
      <c r="L17" s="23"/>
      <c r="M17" s="26" t="e">
        <f t="shared" si="2"/>
        <v>#DIV/0!</v>
      </c>
      <c r="N17" s="23"/>
      <c r="O17" s="23"/>
      <c r="P17" s="23"/>
      <c r="Q17" s="26" t="e">
        <f t="shared" si="3"/>
        <v>#DIV/0!</v>
      </c>
    </row>
    <row r="18" spans="1:17" x14ac:dyDescent="0.25">
      <c r="A18" s="23" t="s">
        <v>174</v>
      </c>
      <c r="B18" s="24">
        <v>0</v>
      </c>
      <c r="C18" s="24">
        <v>4.9600000000000004E-10</v>
      </c>
      <c r="D18" s="24">
        <v>0</v>
      </c>
      <c r="E18" s="24">
        <v>6.4899999999999995E-4</v>
      </c>
      <c r="F18" s="24">
        <v>44700</v>
      </c>
      <c r="G18" s="24">
        <v>1.5500000000000001E-5</v>
      </c>
      <c r="H18" s="23"/>
      <c r="I18" s="23"/>
      <c r="J18" s="23"/>
      <c r="K18" s="23"/>
      <c r="L18" s="23"/>
      <c r="M18" s="26"/>
      <c r="N18" s="23"/>
      <c r="O18" s="23"/>
      <c r="P18" s="23"/>
      <c r="Q18" s="26"/>
    </row>
    <row r="19" spans="1:17" x14ac:dyDescent="0.25">
      <c r="A19" s="23" t="s">
        <v>175</v>
      </c>
      <c r="B19" s="24">
        <v>1.59E-8</v>
      </c>
      <c r="C19" s="24">
        <v>3.9299999999999996E-12</v>
      </c>
      <c r="D19" s="24">
        <v>2.23E-2</v>
      </c>
      <c r="E19" s="24">
        <v>5.4999999999999999E-6</v>
      </c>
      <c r="F19" s="24">
        <v>3.1199999999999999E-2</v>
      </c>
      <c r="G19" s="24">
        <v>22.2</v>
      </c>
      <c r="H19" s="23"/>
      <c r="I19" s="23"/>
      <c r="J19" s="23"/>
      <c r="K19" s="23"/>
      <c r="L19" s="23"/>
      <c r="M19" s="26"/>
      <c r="N19" s="23"/>
      <c r="O19" s="23"/>
      <c r="P19" s="23"/>
      <c r="Q19" s="26"/>
    </row>
    <row r="20" spans="1:17" x14ac:dyDescent="0.25">
      <c r="A20" s="23" t="s">
        <v>107</v>
      </c>
      <c r="B20" s="24">
        <v>7.7700000000000001E-11</v>
      </c>
      <c r="C20" s="24">
        <v>1.02E-9</v>
      </c>
      <c r="D20" s="24">
        <v>4.6600000000000001E-5</v>
      </c>
      <c r="E20" s="24">
        <v>1.2960706319999999E-3</v>
      </c>
      <c r="F20" s="24">
        <v>5.0989345509893397E-5</v>
      </c>
      <c r="G20" s="24">
        <v>13591.0746268657</v>
      </c>
      <c r="H20" s="23"/>
      <c r="I20" s="23"/>
      <c r="J20" s="23"/>
      <c r="K20" s="23"/>
      <c r="L20" s="23"/>
      <c r="M20" s="26" t="e">
        <f t="shared" si="2"/>
        <v>#DIV/0!</v>
      </c>
      <c r="N20" s="23"/>
      <c r="O20" s="23"/>
      <c r="P20" s="23"/>
      <c r="Q20" s="26" t="e">
        <f t="shared" si="3"/>
        <v>#DIV/0!</v>
      </c>
    </row>
    <row r="21" spans="1:17" x14ac:dyDescent="0.25">
      <c r="A21" s="23" t="s">
        <v>176</v>
      </c>
      <c r="B21" s="24">
        <v>1.4500000000000001E-8</v>
      </c>
      <c r="C21" s="24">
        <v>4.1800000000000002E-14</v>
      </c>
      <c r="D21" s="24">
        <v>1.7299999999999999E-2</v>
      </c>
      <c r="E21" s="24">
        <v>5.2000000000000002E-8</v>
      </c>
      <c r="F21" s="24">
        <v>1.83</v>
      </c>
      <c r="G21" s="24">
        <v>0.379</v>
      </c>
      <c r="H21" s="23"/>
      <c r="I21" s="23"/>
      <c r="J21" s="23"/>
      <c r="K21" s="23"/>
      <c r="L21" s="23"/>
      <c r="M21" s="26"/>
      <c r="N21" s="23"/>
      <c r="O21" s="23"/>
      <c r="P21" s="23"/>
      <c r="Q21" s="26"/>
    </row>
    <row r="22" spans="1:17" x14ac:dyDescent="0.25">
      <c r="A22" s="23" t="s">
        <v>111</v>
      </c>
      <c r="B22" s="24">
        <v>0</v>
      </c>
      <c r="C22" s="24">
        <v>3.5699999999999999E-13</v>
      </c>
      <c r="D22" s="24">
        <v>0</v>
      </c>
      <c r="E22" s="24">
        <v>4.4369985599999999E-7</v>
      </c>
      <c r="F22" s="24">
        <v>5.20991882293252E-12</v>
      </c>
      <c r="G22" s="24">
        <v>133015508216.677</v>
      </c>
      <c r="H22" s="23"/>
      <c r="I22" s="23"/>
      <c r="J22" s="23"/>
      <c r="K22" s="23"/>
      <c r="L22" s="23"/>
      <c r="M22" s="26" t="e">
        <f t="shared" si="2"/>
        <v>#DIV/0!</v>
      </c>
      <c r="N22" s="23"/>
      <c r="O22" s="23"/>
      <c r="P22" s="23"/>
      <c r="Q22" s="26" t="e">
        <f t="shared" si="3"/>
        <v>#DIV/0!</v>
      </c>
    </row>
    <row r="23" spans="1:17" x14ac:dyDescent="0.25">
      <c r="A23" s="23" t="s">
        <v>106</v>
      </c>
      <c r="B23" s="24">
        <v>1.39E-11</v>
      </c>
      <c r="C23" s="24">
        <v>3.9500000000000001E-17</v>
      </c>
      <c r="D23" s="24">
        <v>7.6199999999999999E-6</v>
      </c>
      <c r="E23" s="24">
        <v>3.0591937440000002E-10</v>
      </c>
      <c r="F23" s="24">
        <v>5.8980213089802101E-6</v>
      </c>
      <c r="G23" s="24">
        <v>117497.032258065</v>
      </c>
      <c r="H23" s="23"/>
      <c r="I23" s="23"/>
      <c r="J23" s="23"/>
      <c r="K23" s="23"/>
      <c r="L23" s="23"/>
      <c r="M23" s="26" t="e">
        <f t="shared" si="2"/>
        <v>#DIV/0!</v>
      </c>
      <c r="N23" s="23"/>
      <c r="O23" s="23"/>
      <c r="P23" s="23"/>
      <c r="Q23" s="26" t="e">
        <f t="shared" si="3"/>
        <v>#DIV/0!</v>
      </c>
    </row>
    <row r="24" spans="1:17" x14ac:dyDescent="0.25">
      <c r="A24" s="23" t="s">
        <v>110</v>
      </c>
      <c r="B24" s="24">
        <v>0</v>
      </c>
      <c r="C24" s="24">
        <v>3.1899999999999999E-12</v>
      </c>
      <c r="D24" s="24">
        <v>0</v>
      </c>
      <c r="E24" s="24">
        <v>3.9699460800000002E-6</v>
      </c>
      <c r="F24" s="24">
        <v>1.1098427194317601E-9</v>
      </c>
      <c r="G24" s="24">
        <v>624412800</v>
      </c>
      <c r="H24" s="23"/>
      <c r="I24" s="23"/>
      <c r="J24" s="23"/>
      <c r="K24" s="23"/>
      <c r="L24" s="23"/>
      <c r="M24" s="26" t="e">
        <f t="shared" si="2"/>
        <v>#DIV/0!</v>
      </c>
      <c r="N24" s="23"/>
      <c r="O24" s="23"/>
      <c r="P24" s="23"/>
      <c r="Q24" s="26" t="e">
        <f t="shared" si="3"/>
        <v>#DIV/0!</v>
      </c>
    </row>
    <row r="25" spans="1:17" x14ac:dyDescent="0.25">
      <c r="A25" s="23" t="s">
        <v>177</v>
      </c>
      <c r="B25" s="24">
        <v>0</v>
      </c>
      <c r="C25" s="24">
        <v>9.3999999999999995E-12</v>
      </c>
      <c r="D25" s="24">
        <v>0</v>
      </c>
      <c r="E25" s="24">
        <v>4.6400000000000003E-5</v>
      </c>
      <c r="F25" s="24">
        <v>86700</v>
      </c>
      <c r="G25" s="24">
        <v>7.9899999999999997E-6</v>
      </c>
      <c r="H25" s="23"/>
      <c r="I25" s="23"/>
      <c r="J25" s="23"/>
      <c r="K25" s="23"/>
      <c r="L25" s="23"/>
      <c r="M25" s="26"/>
      <c r="N25" s="23"/>
      <c r="O25" s="23"/>
      <c r="P25" s="23"/>
      <c r="Q25" s="26"/>
    </row>
    <row r="26" spans="1:17" x14ac:dyDescent="0.25">
      <c r="A26" s="23" t="s">
        <v>112</v>
      </c>
      <c r="B26" s="24">
        <v>0</v>
      </c>
      <c r="C26" s="24">
        <v>1.24E-8</v>
      </c>
      <c r="D26" s="24">
        <v>0</v>
      </c>
      <c r="E26" s="24">
        <v>1.5412731840000001E-2</v>
      </c>
      <c r="F26" s="24">
        <v>2.4733637747336398E-6</v>
      </c>
      <c r="G26" s="24">
        <v>280185.23076923098</v>
      </c>
      <c r="H26" s="23"/>
      <c r="I26" s="23"/>
      <c r="J26" s="23"/>
      <c r="K26" s="23"/>
      <c r="L26" s="23"/>
      <c r="M26" s="26" t="e">
        <f t="shared" si="2"/>
        <v>#DIV/0!</v>
      </c>
      <c r="N26" s="23"/>
      <c r="O26" s="23"/>
      <c r="P26" s="23"/>
      <c r="Q26" s="26" t="e">
        <f t="shared" si="3"/>
        <v>#DIV/0!</v>
      </c>
    </row>
  </sheetData>
  <sheetProtection algorithmName="SHA-512" hashValue="1ZCP+84y2XLnHj6i4x0JAq12E26iwHJTPvb45xwbAoInpqBo5F7GRQBsjwJ0AWHPIayB4DJszbmjAp0S0abJDA==" saltValue="pWhE4G9GKS78fHeyrfKnp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3CF88-BFE9-48B3-9496-E5CFC0D00858}">
  <dimension ref="A1:R26"/>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140625" defaultRowHeight="15" x14ac:dyDescent="0.25"/>
  <cols>
    <col min="1" max="1" width="14.140625" style="29" bestFit="1" customWidth="1"/>
    <col min="2" max="2" width="8.5703125" style="29" bestFit="1" customWidth="1"/>
    <col min="3" max="3" width="10.85546875" style="29" bestFit="1" customWidth="1"/>
    <col min="4" max="4" width="14.140625" style="29" bestFit="1" customWidth="1"/>
    <col min="5" max="5" width="15.140625" style="29" bestFit="1" customWidth="1"/>
    <col min="6" max="6" width="12.28515625" style="29" bestFit="1" customWidth="1"/>
    <col min="7" max="7" width="11" style="29" bestFit="1" customWidth="1"/>
    <col min="8" max="12" width="8.5703125" style="29" bestFit="1" customWidth="1"/>
    <col min="13" max="13" width="8.7109375" style="29" bestFit="1" customWidth="1"/>
    <col min="14" max="16" width="8.5703125" style="29" bestFit="1" customWidth="1"/>
    <col min="17" max="17" width="12" style="29" bestFit="1" customWidth="1"/>
    <col min="18" max="16384" width="9.140625" style="29"/>
  </cols>
  <sheetData>
    <row r="1" spans="1:18" x14ac:dyDescent="0.25">
      <c r="A1" s="17" t="s">
        <v>158</v>
      </c>
      <c r="B1" s="18" t="s">
        <v>2</v>
      </c>
      <c r="C1" s="18" t="s">
        <v>3</v>
      </c>
      <c r="D1" s="19" t="s">
        <v>113</v>
      </c>
      <c r="E1" s="19" t="s">
        <v>87</v>
      </c>
      <c r="F1" s="20" t="s">
        <v>19</v>
      </c>
      <c r="G1" s="21" t="s">
        <v>20</v>
      </c>
      <c r="H1" s="22" t="s">
        <v>59</v>
      </c>
      <c r="I1" s="22" t="s">
        <v>60</v>
      </c>
      <c r="J1" s="22" t="s">
        <v>61</v>
      </c>
      <c r="K1" s="22" t="s">
        <v>62</v>
      </c>
      <c r="L1" s="22" t="s">
        <v>63</v>
      </c>
      <c r="M1" s="22" t="s">
        <v>64</v>
      </c>
      <c r="N1" s="22" t="s">
        <v>66</v>
      </c>
      <c r="O1" s="22" t="s">
        <v>67</v>
      </c>
      <c r="P1" s="22" t="s">
        <v>68</v>
      </c>
      <c r="Q1" s="22" t="s">
        <v>78</v>
      </c>
    </row>
    <row r="2" spans="1:18" x14ac:dyDescent="0.25">
      <c r="A2" s="23" t="s">
        <v>82</v>
      </c>
      <c r="B2" s="24">
        <v>5</v>
      </c>
      <c r="C2" s="24">
        <v>5</v>
      </c>
      <c r="D2" s="24">
        <v>5</v>
      </c>
      <c r="E2" s="24">
        <v>5</v>
      </c>
      <c r="F2" s="24">
        <v>1.2557077625570801E-7</v>
      </c>
      <c r="G2" s="24">
        <v>5518800</v>
      </c>
      <c r="H2" s="25">
        <v>219.00899999999999</v>
      </c>
      <c r="I2" s="24">
        <v>5</v>
      </c>
      <c r="J2" s="24">
        <v>5</v>
      </c>
      <c r="K2" s="22"/>
      <c r="L2" s="24">
        <v>5</v>
      </c>
      <c r="M2" s="26">
        <f t="shared" ref="M2:M26" si="0">(EXP(-((Q2/1.987)*((1/s_TgwK)-(1/298.15))))*L2)/(0.00008205*s_TgwK)</f>
        <v>211.44129070496797</v>
      </c>
      <c r="N2" s="24">
        <v>5</v>
      </c>
      <c r="O2" s="24">
        <v>378</v>
      </c>
      <c r="P2" s="24">
        <v>5</v>
      </c>
      <c r="Q2" s="26">
        <f t="shared" ref="Q2:Q26" si="1">P2*(((1-s_TgwK/O2)/(1-N2/O2))^(IF(N2/O2&lt;0.57,0.3,IF(N2/O2&gt;0.71,0.41,IF(AND(N2/O2&gt;0.57,N2/O2&lt;=0.71),(0.74*(N2/O2)-0.116))))))</f>
        <v>3.2622164940903731</v>
      </c>
      <c r="R2" s="30"/>
    </row>
    <row r="3" spans="1:18" x14ac:dyDescent="0.25">
      <c r="A3" s="23" t="s">
        <v>96</v>
      </c>
      <c r="B3" s="24">
        <v>5</v>
      </c>
      <c r="C3" s="24">
        <v>5</v>
      </c>
      <c r="D3" s="24">
        <v>5</v>
      </c>
      <c r="E3" s="24">
        <v>5</v>
      </c>
      <c r="F3" s="24">
        <v>4.0715372907153704E-6</v>
      </c>
      <c r="G3" s="24">
        <v>170205.98130841099</v>
      </c>
      <c r="H3" s="25"/>
      <c r="I3" s="24"/>
      <c r="J3" s="24"/>
      <c r="K3" s="22"/>
      <c r="L3" s="24"/>
      <c r="M3" s="26" t="e">
        <f t="shared" si="0"/>
        <v>#DIV/0!</v>
      </c>
      <c r="N3" s="24"/>
      <c r="O3" s="24"/>
      <c r="P3" s="24"/>
      <c r="Q3" s="26" t="e">
        <f t="shared" si="1"/>
        <v>#DIV/0!</v>
      </c>
    </row>
    <row r="4" spans="1:18" x14ac:dyDescent="0.25">
      <c r="A4" s="23" t="s">
        <v>97</v>
      </c>
      <c r="B4" s="24">
        <v>5</v>
      </c>
      <c r="C4" s="24">
        <v>5</v>
      </c>
      <c r="D4" s="24">
        <v>5</v>
      </c>
      <c r="E4" s="24">
        <v>5</v>
      </c>
      <c r="F4" s="24">
        <v>6.8683409436834107E-5</v>
      </c>
      <c r="G4" s="24">
        <v>10089.772853185599</v>
      </c>
      <c r="H4" s="25"/>
      <c r="I4" s="24"/>
      <c r="J4" s="24"/>
      <c r="K4" s="22"/>
      <c r="L4" s="24"/>
      <c r="M4" s="26" t="e">
        <f t="shared" si="0"/>
        <v>#DIV/0!</v>
      </c>
      <c r="N4" s="24"/>
      <c r="O4" s="24"/>
      <c r="P4" s="24"/>
      <c r="Q4" s="26" t="e">
        <f t="shared" si="1"/>
        <v>#DIV/0!</v>
      </c>
    </row>
    <row r="5" spans="1:18" x14ac:dyDescent="0.25">
      <c r="A5" s="23" t="s">
        <v>98</v>
      </c>
      <c r="B5" s="24">
        <v>5</v>
      </c>
      <c r="C5" s="24">
        <v>5</v>
      </c>
      <c r="D5" s="24">
        <v>5</v>
      </c>
      <c r="E5" s="24">
        <v>5</v>
      </c>
      <c r="F5" s="24">
        <v>1.63622526636225E-8</v>
      </c>
      <c r="G5" s="24">
        <v>42353581.395348802</v>
      </c>
      <c r="H5" s="25"/>
      <c r="I5" s="24"/>
      <c r="J5" s="24"/>
      <c r="K5" s="22"/>
      <c r="L5" s="24"/>
      <c r="M5" s="26" t="e">
        <f t="shared" si="0"/>
        <v>#DIV/0!</v>
      </c>
      <c r="N5" s="24"/>
      <c r="O5" s="24"/>
      <c r="P5" s="24"/>
      <c r="Q5" s="26" t="e">
        <f t="shared" si="1"/>
        <v>#DIV/0!</v>
      </c>
    </row>
    <row r="6" spans="1:18" x14ac:dyDescent="0.25">
      <c r="A6" s="23" t="s">
        <v>99</v>
      </c>
      <c r="B6" s="24">
        <v>5</v>
      </c>
      <c r="C6" s="24">
        <v>5</v>
      </c>
      <c r="D6" s="24">
        <v>5</v>
      </c>
      <c r="E6" s="24">
        <v>5</v>
      </c>
      <c r="F6" s="24">
        <v>5.6475139523084702E-11</v>
      </c>
      <c r="G6" s="24">
        <v>12270886019.090401</v>
      </c>
      <c r="H6" s="25"/>
      <c r="I6" s="24"/>
      <c r="J6" s="24"/>
      <c r="K6" s="22"/>
      <c r="L6" s="24"/>
      <c r="M6" s="26" t="e">
        <f t="shared" si="0"/>
        <v>#DIV/0!</v>
      </c>
      <c r="N6" s="24"/>
      <c r="O6" s="24"/>
      <c r="P6" s="24"/>
      <c r="Q6" s="26" t="e">
        <f t="shared" si="1"/>
        <v>#DIV/0!</v>
      </c>
    </row>
    <row r="7" spans="1:18" x14ac:dyDescent="0.25">
      <c r="A7" s="23" t="s">
        <v>100</v>
      </c>
      <c r="B7" s="24">
        <v>5</v>
      </c>
      <c r="C7" s="24">
        <v>5</v>
      </c>
      <c r="D7" s="24">
        <v>5</v>
      </c>
      <c r="E7" s="24">
        <v>5</v>
      </c>
      <c r="F7" s="24">
        <v>9.0753424657534201E-6</v>
      </c>
      <c r="G7" s="24">
        <v>76360.754716981101</v>
      </c>
      <c r="H7" s="25"/>
      <c r="I7" s="24"/>
      <c r="J7" s="24"/>
      <c r="K7" s="22"/>
      <c r="L7" s="24"/>
      <c r="M7" s="26" t="e">
        <f t="shared" si="0"/>
        <v>#DIV/0!</v>
      </c>
      <c r="N7" s="24"/>
      <c r="O7" s="24"/>
      <c r="P7" s="24"/>
      <c r="Q7" s="26" t="e">
        <f t="shared" si="1"/>
        <v>#DIV/0!</v>
      </c>
    </row>
    <row r="8" spans="1:18" x14ac:dyDescent="0.25">
      <c r="A8" s="23" t="s">
        <v>0</v>
      </c>
      <c r="B8" s="24">
        <v>5</v>
      </c>
      <c r="C8" s="24">
        <v>5</v>
      </c>
      <c r="D8" s="24">
        <v>5</v>
      </c>
      <c r="E8" s="24">
        <v>5</v>
      </c>
      <c r="F8" s="24">
        <v>1.7630644342973101E-6</v>
      </c>
      <c r="G8" s="24">
        <v>393065.611510791</v>
      </c>
      <c r="H8" s="27">
        <v>220.01128399999999</v>
      </c>
      <c r="I8" s="24">
        <v>5</v>
      </c>
      <c r="J8" s="24">
        <v>5</v>
      </c>
      <c r="K8" s="24">
        <v>7500</v>
      </c>
      <c r="L8" s="24">
        <v>5</v>
      </c>
      <c r="M8" s="26">
        <f t="shared" si="0"/>
        <v>211.44129070496797</v>
      </c>
      <c r="N8" s="24">
        <v>5</v>
      </c>
      <c r="O8" s="24">
        <v>378</v>
      </c>
      <c r="P8" s="24">
        <v>5</v>
      </c>
      <c r="Q8" s="26">
        <f t="shared" si="1"/>
        <v>3.2622164940903731</v>
      </c>
    </row>
    <row r="9" spans="1:18" x14ac:dyDescent="0.25">
      <c r="A9" s="23" t="s">
        <v>101</v>
      </c>
      <c r="B9" s="24">
        <v>5</v>
      </c>
      <c r="C9" s="24">
        <v>5</v>
      </c>
      <c r="D9" s="24">
        <v>5</v>
      </c>
      <c r="E9" s="24">
        <v>5</v>
      </c>
      <c r="F9" s="24">
        <v>1.15201674277017E-4</v>
      </c>
      <c r="G9" s="24">
        <v>6015.5375722543304</v>
      </c>
      <c r="H9" s="27"/>
      <c r="I9" s="24"/>
      <c r="J9" s="24"/>
      <c r="K9" s="24"/>
      <c r="L9" s="24"/>
      <c r="M9" s="26" t="e">
        <f t="shared" si="0"/>
        <v>#DIV/0!</v>
      </c>
      <c r="N9" s="24"/>
      <c r="O9" s="24"/>
      <c r="P9" s="24"/>
      <c r="Q9" s="26" t="e">
        <f t="shared" si="1"/>
        <v>#DIV/0!</v>
      </c>
    </row>
    <row r="10" spans="1:18" x14ac:dyDescent="0.25">
      <c r="A10" s="23" t="s">
        <v>102</v>
      </c>
      <c r="B10" s="24">
        <v>5</v>
      </c>
      <c r="C10" s="24">
        <v>5</v>
      </c>
      <c r="D10" s="24">
        <v>5</v>
      </c>
      <c r="E10" s="24">
        <v>5</v>
      </c>
      <c r="F10" s="24">
        <v>1.2146118721461201E-3</v>
      </c>
      <c r="G10" s="24">
        <v>570.55263157894694</v>
      </c>
      <c r="H10" s="27"/>
      <c r="I10" s="24"/>
      <c r="J10" s="24"/>
      <c r="K10" s="24"/>
      <c r="L10" s="24"/>
      <c r="M10" s="26" t="e">
        <f t="shared" si="0"/>
        <v>#DIV/0!</v>
      </c>
      <c r="N10" s="24"/>
      <c r="O10" s="24"/>
      <c r="P10" s="24"/>
      <c r="Q10" s="26" t="e">
        <f t="shared" si="1"/>
        <v>#DIV/0!</v>
      </c>
    </row>
    <row r="11" spans="1:18" x14ac:dyDescent="0.25">
      <c r="A11" s="23" t="s">
        <v>103</v>
      </c>
      <c r="B11" s="24">
        <v>5</v>
      </c>
      <c r="C11" s="24">
        <v>5</v>
      </c>
      <c r="D11" s="24">
        <v>5</v>
      </c>
      <c r="E11" s="24">
        <v>5</v>
      </c>
      <c r="F11" s="24">
        <v>9.4812278031456105E-15</v>
      </c>
      <c r="G11" s="24">
        <v>73091799331103.703</v>
      </c>
      <c r="H11" s="27"/>
      <c r="I11" s="24"/>
      <c r="J11" s="24"/>
      <c r="K11" s="24"/>
      <c r="L11" s="24"/>
      <c r="M11" s="26" t="e">
        <f t="shared" si="0"/>
        <v>#DIV/0!</v>
      </c>
      <c r="N11" s="24"/>
      <c r="O11" s="24"/>
      <c r="P11" s="24"/>
      <c r="Q11" s="26" t="e">
        <f t="shared" si="1"/>
        <v>#DIV/0!</v>
      </c>
    </row>
    <row r="12" spans="1:18" x14ac:dyDescent="0.25">
      <c r="A12" s="23" t="s">
        <v>104</v>
      </c>
      <c r="B12" s="24">
        <v>5</v>
      </c>
      <c r="C12" s="24">
        <v>5</v>
      </c>
      <c r="D12" s="24">
        <v>5</v>
      </c>
      <c r="E12" s="24">
        <v>5</v>
      </c>
      <c r="F12" s="24">
        <v>4.59791983764586E-9</v>
      </c>
      <c r="G12" s="24">
        <v>150720331.03448299</v>
      </c>
      <c r="H12" s="27"/>
      <c r="I12" s="24"/>
      <c r="J12" s="24"/>
      <c r="K12" s="24"/>
      <c r="L12" s="24"/>
      <c r="M12" s="26" t="e">
        <f t="shared" si="0"/>
        <v>#DIV/0!</v>
      </c>
      <c r="N12" s="24"/>
      <c r="O12" s="24"/>
      <c r="P12" s="24"/>
      <c r="Q12" s="26" t="e">
        <f t="shared" si="1"/>
        <v>#DIV/0!</v>
      </c>
    </row>
    <row r="13" spans="1:18" x14ac:dyDescent="0.25">
      <c r="A13" s="23" t="s">
        <v>105</v>
      </c>
      <c r="B13" s="24">
        <v>5</v>
      </c>
      <c r="C13" s="24">
        <v>5</v>
      </c>
      <c r="D13" s="24">
        <v>5</v>
      </c>
      <c r="E13" s="24">
        <v>5</v>
      </c>
      <c r="F13" s="24">
        <v>5.8085996955860003E-6</v>
      </c>
      <c r="G13" s="24">
        <v>119305.86308549</v>
      </c>
      <c r="H13" s="27"/>
      <c r="I13" s="24"/>
      <c r="J13" s="24"/>
      <c r="K13" s="24"/>
      <c r="L13" s="24"/>
      <c r="M13" s="26" t="e">
        <f t="shared" si="0"/>
        <v>#DIV/0!</v>
      </c>
      <c r="N13" s="24"/>
      <c r="O13" s="24"/>
      <c r="P13" s="24"/>
      <c r="Q13" s="26" t="e">
        <f t="shared" si="1"/>
        <v>#DIV/0!</v>
      </c>
    </row>
    <row r="14" spans="1:18" x14ac:dyDescent="0.25">
      <c r="A14" s="23" t="s">
        <v>1</v>
      </c>
      <c r="B14" s="24">
        <v>5</v>
      </c>
      <c r="C14" s="24">
        <v>5</v>
      </c>
      <c r="D14" s="24">
        <v>5</v>
      </c>
      <c r="E14" s="24">
        <v>5</v>
      </c>
      <c r="F14" s="24">
        <v>1.04753424657534E-2</v>
      </c>
      <c r="G14" s="24">
        <v>66.155355041192607</v>
      </c>
      <c r="H14" s="27">
        <v>222.01757000000001</v>
      </c>
      <c r="I14" s="24">
        <v>5</v>
      </c>
      <c r="J14" s="24">
        <v>5</v>
      </c>
      <c r="K14" s="24">
        <v>5000</v>
      </c>
      <c r="L14" s="24">
        <v>5</v>
      </c>
      <c r="M14" s="26">
        <f t="shared" si="0"/>
        <v>211.44129070496797</v>
      </c>
      <c r="N14" s="24">
        <v>5</v>
      </c>
      <c r="O14" s="24">
        <v>378</v>
      </c>
      <c r="P14" s="24">
        <v>5</v>
      </c>
      <c r="Q14" s="26">
        <f t="shared" si="1"/>
        <v>3.2622164940903731</v>
      </c>
    </row>
    <row r="15" spans="1:18" x14ac:dyDescent="0.25">
      <c r="A15" s="23" t="s">
        <v>108</v>
      </c>
      <c r="B15" s="24">
        <v>5</v>
      </c>
      <c r="C15" s="24">
        <v>5</v>
      </c>
      <c r="D15" s="24">
        <v>5</v>
      </c>
      <c r="E15" s="24">
        <v>5</v>
      </c>
      <c r="F15" s="24">
        <v>4.7564687975646899E-8</v>
      </c>
      <c r="G15" s="24">
        <v>14569632</v>
      </c>
      <c r="H15" s="23"/>
      <c r="I15" s="23"/>
      <c r="J15" s="23"/>
      <c r="K15" s="23"/>
      <c r="L15" s="23"/>
      <c r="M15" s="26" t="e">
        <f t="shared" si="0"/>
        <v>#DIV/0!</v>
      </c>
      <c r="N15" s="28"/>
      <c r="O15" s="23"/>
      <c r="P15" s="23"/>
      <c r="Q15" s="26" t="e">
        <f t="shared" si="1"/>
        <v>#DIV/0!</v>
      </c>
    </row>
    <row r="16" spans="1:18" x14ac:dyDescent="0.25">
      <c r="A16" s="23" t="s">
        <v>173</v>
      </c>
      <c r="B16" s="24">
        <v>5</v>
      </c>
      <c r="C16" s="24">
        <v>5</v>
      </c>
      <c r="D16" s="24">
        <v>5</v>
      </c>
      <c r="E16" s="24">
        <v>5</v>
      </c>
      <c r="F16" s="24">
        <v>50.5</v>
      </c>
      <c r="G16" s="24">
        <v>1.37E-2</v>
      </c>
      <c r="H16" s="23"/>
      <c r="I16" s="23"/>
      <c r="J16" s="23"/>
      <c r="K16" s="23"/>
      <c r="L16" s="23"/>
      <c r="M16" s="26" t="e">
        <f t="shared" si="0"/>
        <v>#DIV/0!</v>
      </c>
      <c r="N16" s="23"/>
      <c r="O16" s="23"/>
      <c r="P16" s="23"/>
      <c r="Q16" s="26" t="e">
        <f t="shared" si="1"/>
        <v>#DIV/0!</v>
      </c>
    </row>
    <row r="17" spans="1:17" x14ac:dyDescent="0.25">
      <c r="A17" s="23" t="s">
        <v>109</v>
      </c>
      <c r="B17" s="24">
        <v>5</v>
      </c>
      <c r="C17" s="24">
        <v>5</v>
      </c>
      <c r="D17" s="24">
        <v>5</v>
      </c>
      <c r="E17" s="24">
        <v>5</v>
      </c>
      <c r="F17" s="24">
        <v>3.7861491628614902E-5</v>
      </c>
      <c r="G17" s="24">
        <v>18303.557788944701</v>
      </c>
      <c r="H17" s="23"/>
      <c r="I17" s="23"/>
      <c r="J17" s="23"/>
      <c r="K17" s="23"/>
      <c r="L17" s="23"/>
      <c r="M17" s="26" t="e">
        <f t="shared" si="0"/>
        <v>#DIV/0!</v>
      </c>
      <c r="N17" s="23"/>
      <c r="O17" s="23"/>
      <c r="P17" s="23"/>
      <c r="Q17" s="26" t="e">
        <f t="shared" si="1"/>
        <v>#DIV/0!</v>
      </c>
    </row>
    <row r="18" spans="1:17" x14ac:dyDescent="0.25">
      <c r="A18" s="23" t="s">
        <v>174</v>
      </c>
      <c r="B18" s="24">
        <v>5</v>
      </c>
      <c r="C18" s="24">
        <v>5</v>
      </c>
      <c r="D18" s="24">
        <v>5</v>
      </c>
      <c r="E18" s="24">
        <v>5</v>
      </c>
      <c r="F18" s="24">
        <v>44700</v>
      </c>
      <c r="G18" s="24">
        <v>1.5500000000000001E-5</v>
      </c>
      <c r="H18" s="23"/>
      <c r="I18" s="23"/>
      <c r="J18" s="23"/>
      <c r="K18" s="23"/>
      <c r="L18" s="23"/>
      <c r="M18" s="26" t="e">
        <f t="shared" si="0"/>
        <v>#DIV/0!</v>
      </c>
      <c r="N18" s="23"/>
      <c r="O18" s="23"/>
      <c r="P18" s="23"/>
      <c r="Q18" s="26" t="e">
        <f t="shared" si="1"/>
        <v>#DIV/0!</v>
      </c>
    </row>
    <row r="19" spans="1:17" x14ac:dyDescent="0.25">
      <c r="A19" s="23" t="s">
        <v>175</v>
      </c>
      <c r="B19" s="24">
        <v>5</v>
      </c>
      <c r="C19" s="24">
        <v>5</v>
      </c>
      <c r="D19" s="24">
        <v>5</v>
      </c>
      <c r="E19" s="24">
        <v>5</v>
      </c>
      <c r="F19" s="24">
        <v>3.1199999999999999E-2</v>
      </c>
      <c r="G19" s="24">
        <v>22.2</v>
      </c>
      <c r="H19" s="23"/>
      <c r="I19" s="23"/>
      <c r="J19" s="23"/>
      <c r="K19" s="23"/>
      <c r="L19" s="23"/>
      <c r="M19" s="26" t="e">
        <f t="shared" si="0"/>
        <v>#DIV/0!</v>
      </c>
      <c r="N19" s="23"/>
      <c r="O19" s="23"/>
      <c r="P19" s="23"/>
      <c r="Q19" s="26" t="e">
        <f t="shared" si="1"/>
        <v>#DIV/0!</v>
      </c>
    </row>
    <row r="20" spans="1:17" x14ac:dyDescent="0.25">
      <c r="A20" s="23" t="s">
        <v>107</v>
      </c>
      <c r="B20" s="24">
        <v>5</v>
      </c>
      <c r="C20" s="24">
        <v>5</v>
      </c>
      <c r="D20" s="24">
        <v>5</v>
      </c>
      <c r="E20" s="24">
        <v>5</v>
      </c>
      <c r="F20" s="24">
        <v>5.0989345509893397E-5</v>
      </c>
      <c r="G20" s="24">
        <v>13591.0746268657</v>
      </c>
      <c r="H20" s="23"/>
      <c r="I20" s="23"/>
      <c r="J20" s="23"/>
      <c r="K20" s="23"/>
      <c r="L20" s="23"/>
      <c r="M20" s="26" t="e">
        <f t="shared" si="0"/>
        <v>#DIV/0!</v>
      </c>
      <c r="N20" s="23"/>
      <c r="O20" s="23"/>
      <c r="P20" s="23"/>
      <c r="Q20" s="26" t="e">
        <f t="shared" si="1"/>
        <v>#DIV/0!</v>
      </c>
    </row>
    <row r="21" spans="1:17" x14ac:dyDescent="0.25">
      <c r="A21" s="23" t="s">
        <v>176</v>
      </c>
      <c r="B21" s="24">
        <v>5</v>
      </c>
      <c r="C21" s="24">
        <v>5</v>
      </c>
      <c r="D21" s="24">
        <v>5</v>
      </c>
      <c r="E21" s="24">
        <v>5</v>
      </c>
      <c r="F21" s="24">
        <v>1.83</v>
      </c>
      <c r="G21" s="24">
        <v>0.379</v>
      </c>
      <c r="H21" s="23"/>
      <c r="I21" s="23"/>
      <c r="J21" s="23"/>
      <c r="K21" s="23"/>
      <c r="L21" s="23"/>
      <c r="M21" s="26" t="e">
        <f t="shared" si="0"/>
        <v>#DIV/0!</v>
      </c>
      <c r="N21" s="23"/>
      <c r="O21" s="23"/>
      <c r="P21" s="23"/>
      <c r="Q21" s="26" t="e">
        <f t="shared" si="1"/>
        <v>#DIV/0!</v>
      </c>
    </row>
    <row r="22" spans="1:17" x14ac:dyDescent="0.25">
      <c r="A22" s="23" t="s">
        <v>111</v>
      </c>
      <c r="B22" s="24">
        <v>5</v>
      </c>
      <c r="C22" s="24">
        <v>5</v>
      </c>
      <c r="D22" s="24">
        <v>5</v>
      </c>
      <c r="E22" s="24">
        <v>5</v>
      </c>
      <c r="F22" s="24">
        <v>5.20991882293252E-12</v>
      </c>
      <c r="G22" s="24">
        <v>133015508216.677</v>
      </c>
      <c r="M22" s="26" t="e">
        <f t="shared" si="0"/>
        <v>#DIV/0!</v>
      </c>
      <c r="Q22" s="26" t="e">
        <f t="shared" si="1"/>
        <v>#DIV/0!</v>
      </c>
    </row>
    <row r="23" spans="1:17" x14ac:dyDescent="0.25">
      <c r="A23" s="23" t="s">
        <v>106</v>
      </c>
      <c r="B23" s="24">
        <v>5</v>
      </c>
      <c r="C23" s="24">
        <v>5</v>
      </c>
      <c r="D23" s="24">
        <v>5</v>
      </c>
      <c r="E23" s="24">
        <v>5</v>
      </c>
      <c r="F23" s="24">
        <v>5.8980213089802101E-6</v>
      </c>
      <c r="G23" s="24">
        <v>117497.032258065</v>
      </c>
      <c r="M23" s="26" t="e">
        <f t="shared" si="0"/>
        <v>#DIV/0!</v>
      </c>
      <c r="Q23" s="26" t="e">
        <f t="shared" si="1"/>
        <v>#DIV/0!</v>
      </c>
    </row>
    <row r="24" spans="1:17" x14ac:dyDescent="0.25">
      <c r="A24" s="23" t="s">
        <v>110</v>
      </c>
      <c r="B24" s="24">
        <v>5</v>
      </c>
      <c r="C24" s="24">
        <v>5</v>
      </c>
      <c r="D24" s="24">
        <v>5</v>
      </c>
      <c r="E24" s="24">
        <v>5</v>
      </c>
      <c r="F24" s="24">
        <v>1.1098427194317601E-9</v>
      </c>
      <c r="G24" s="24">
        <v>624412800</v>
      </c>
      <c r="M24" s="26" t="e">
        <f t="shared" si="0"/>
        <v>#DIV/0!</v>
      </c>
      <c r="Q24" s="26" t="e">
        <f t="shared" si="1"/>
        <v>#DIV/0!</v>
      </c>
    </row>
    <row r="25" spans="1:17" x14ac:dyDescent="0.25">
      <c r="A25" s="23" t="s">
        <v>177</v>
      </c>
      <c r="B25" s="24">
        <v>5</v>
      </c>
      <c r="C25" s="24">
        <v>5</v>
      </c>
      <c r="D25" s="24">
        <v>5</v>
      </c>
      <c r="E25" s="24">
        <v>5</v>
      </c>
      <c r="F25" s="24">
        <v>86700</v>
      </c>
      <c r="G25" s="24">
        <v>7.9899999999999997E-6</v>
      </c>
      <c r="M25" s="26" t="e">
        <f t="shared" si="0"/>
        <v>#DIV/0!</v>
      </c>
      <c r="Q25" s="26" t="e">
        <f t="shared" si="1"/>
        <v>#DIV/0!</v>
      </c>
    </row>
    <row r="26" spans="1:17" x14ac:dyDescent="0.25">
      <c r="A26" s="23" t="s">
        <v>112</v>
      </c>
      <c r="B26" s="24">
        <v>5</v>
      </c>
      <c r="C26" s="24">
        <v>5</v>
      </c>
      <c r="D26" s="24">
        <v>5</v>
      </c>
      <c r="E26" s="24">
        <v>5</v>
      </c>
      <c r="F26" s="24">
        <v>2.4733637747336398E-6</v>
      </c>
      <c r="G26" s="24">
        <v>280185.23076923098</v>
      </c>
      <c r="M26" s="26" t="e">
        <f t="shared" si="0"/>
        <v>#DIV/0!</v>
      </c>
      <c r="Q26" s="26" t="e">
        <f t="shared" si="1"/>
        <v>#DIV/0!</v>
      </c>
    </row>
  </sheetData>
  <sheetProtection algorithmName="SHA-512" hashValue="6rV41LcrE31zs5rVZcFHmCrRNcVKmE2aJ4qYGBjCyPE5Ojqf2VkLiC8ao0CQcyPFob+LKHlLwAn4yPmayGIFhw==" saltValue="jzPMy/RKXyOEtcMbTaobTA==" spinCount="100000" sheet="1" objects="1" scenarios="1"/>
  <autoFilter ref="A1:Q21" xr:uid="{32299D4F-97D2-432E-9114-AB992B70D09C}"/>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A984-9A52-4DB5-A684-42B6CCD20F05}">
  <dimension ref="A1:G26"/>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140625" defaultRowHeight="15" x14ac:dyDescent="0.25"/>
  <cols>
    <col min="1" max="1" width="14.140625" style="32" bestFit="1" customWidth="1"/>
    <col min="2" max="2" width="13.140625" style="32" bestFit="1" customWidth="1"/>
    <col min="3" max="3" width="12" style="32" bestFit="1" customWidth="1"/>
    <col min="4" max="4" width="8.140625" style="32" bestFit="1" customWidth="1"/>
    <col min="5" max="5" width="12.28515625" style="32" bestFit="1" customWidth="1"/>
    <col min="6" max="6" width="9.140625" style="32"/>
    <col min="7" max="7" width="13.42578125" style="32" bestFit="1" customWidth="1"/>
    <col min="8" max="16384" width="9.140625" style="32"/>
  </cols>
  <sheetData>
    <row r="1" spans="1:7" x14ac:dyDescent="0.25">
      <c r="A1" s="17" t="s">
        <v>158</v>
      </c>
      <c r="B1" s="35" t="s">
        <v>114</v>
      </c>
      <c r="C1" s="35" t="s">
        <v>115</v>
      </c>
      <c r="D1" s="35" t="s">
        <v>143</v>
      </c>
      <c r="E1" s="35" t="s">
        <v>144</v>
      </c>
      <c r="F1" s="35" t="s">
        <v>145</v>
      </c>
      <c r="G1" s="35" t="s">
        <v>146</v>
      </c>
    </row>
    <row r="2" spans="1:7" x14ac:dyDescent="0.25">
      <c r="A2" s="23" t="s">
        <v>82</v>
      </c>
      <c r="B2" s="105">
        <v>1</v>
      </c>
      <c r="C2" s="105">
        <v>1</v>
      </c>
      <c r="D2" s="87">
        <v>0.85690076999999998</v>
      </c>
      <c r="E2" s="34">
        <f>(D2*1)/162</f>
        <v>5.2895109259259261E-3</v>
      </c>
      <c r="F2" s="90">
        <v>0.63791572299999999</v>
      </c>
      <c r="G2" s="34">
        <f>(F2*1)/162</f>
        <v>3.9377513765432096E-3</v>
      </c>
    </row>
    <row r="3" spans="1:7" x14ac:dyDescent="0.25">
      <c r="A3" s="23" t="s">
        <v>96</v>
      </c>
      <c r="B3" s="105">
        <v>0.8569</v>
      </c>
      <c r="C3" s="105">
        <v>0.63780000000000003</v>
      </c>
      <c r="D3" s="33"/>
      <c r="E3" s="33"/>
      <c r="F3" s="91"/>
      <c r="G3" s="33"/>
    </row>
    <row r="4" spans="1:7" x14ac:dyDescent="0.25">
      <c r="A4" s="23" t="s">
        <v>97</v>
      </c>
      <c r="B4" s="105">
        <v>0.86480000000000001</v>
      </c>
      <c r="C4" s="105">
        <v>0.65749999999999997</v>
      </c>
      <c r="D4" s="33"/>
      <c r="E4" s="33"/>
      <c r="F4" s="91"/>
      <c r="G4" s="33"/>
    </row>
    <row r="5" spans="1:7" x14ac:dyDescent="0.25">
      <c r="A5" s="23" t="s">
        <v>98</v>
      </c>
      <c r="B5" s="105">
        <v>2.3999999999999998E-3</v>
      </c>
      <c r="C5" s="105">
        <v>1.8E-3</v>
      </c>
      <c r="D5" s="33"/>
      <c r="E5" s="33"/>
      <c r="F5" s="91"/>
      <c r="G5" s="33"/>
    </row>
    <row r="6" spans="1:7" x14ac:dyDescent="0.25">
      <c r="A6" s="23" t="s">
        <v>99</v>
      </c>
      <c r="B6" s="105">
        <v>1</v>
      </c>
      <c r="C6" s="105">
        <v>0.99460000000000004</v>
      </c>
      <c r="D6" s="33"/>
      <c r="E6" s="33"/>
      <c r="F6" s="91"/>
      <c r="G6" s="33"/>
    </row>
    <row r="7" spans="1:7" x14ac:dyDescent="0.25">
      <c r="A7" s="23" t="s">
        <v>100</v>
      </c>
      <c r="B7" s="105">
        <v>0.83709999999999996</v>
      </c>
      <c r="C7" s="105">
        <v>0.59489999999999998</v>
      </c>
      <c r="D7" s="33"/>
      <c r="E7" s="33"/>
      <c r="F7" s="91"/>
      <c r="G7" s="33"/>
    </row>
    <row r="8" spans="1:7" x14ac:dyDescent="0.25">
      <c r="A8" s="23" t="s">
        <v>0</v>
      </c>
      <c r="B8" s="105">
        <v>1</v>
      </c>
      <c r="C8" s="105">
        <v>1</v>
      </c>
      <c r="D8" s="88">
        <v>0.210606078</v>
      </c>
      <c r="E8" s="34">
        <f>(D8*1)/7.5</f>
        <v>2.80808104E-2</v>
      </c>
      <c r="F8" s="90">
        <v>5.2272651000000003E-2</v>
      </c>
      <c r="G8" s="34">
        <f>(F8*1)/7.5</f>
        <v>6.9696868000000004E-3</v>
      </c>
    </row>
    <row r="9" spans="1:7" x14ac:dyDescent="0.25">
      <c r="A9" s="23" t="s">
        <v>101</v>
      </c>
      <c r="B9" s="105">
        <v>0.21060000000000001</v>
      </c>
      <c r="C9" s="105">
        <v>5.2299999999999999E-2</v>
      </c>
      <c r="D9" s="33"/>
      <c r="E9" s="33"/>
      <c r="F9" s="91"/>
      <c r="G9" s="33"/>
    </row>
    <row r="10" spans="1:7" x14ac:dyDescent="0.25">
      <c r="A10" s="23" t="s">
        <v>102</v>
      </c>
      <c r="B10" s="105">
        <v>0.26569999999999999</v>
      </c>
      <c r="C10" s="105">
        <v>9.7900000000000001E-2</v>
      </c>
      <c r="D10" s="33"/>
      <c r="E10" s="33"/>
      <c r="F10" s="91"/>
      <c r="G10" s="33"/>
    </row>
    <row r="11" spans="1:7" x14ac:dyDescent="0.25">
      <c r="A11" s="23" t="s">
        <v>103</v>
      </c>
      <c r="B11" s="105">
        <v>0.13500000000000001</v>
      </c>
      <c r="C11" s="105">
        <v>3.3500000000000002E-2</v>
      </c>
      <c r="D11" s="33"/>
      <c r="E11" s="33"/>
      <c r="F11" s="91"/>
      <c r="G11" s="33"/>
    </row>
    <row r="12" spans="1:7" x14ac:dyDescent="0.25">
      <c r="A12" s="23" t="s">
        <v>104</v>
      </c>
      <c r="B12" s="105">
        <v>1</v>
      </c>
      <c r="C12" s="105">
        <v>1</v>
      </c>
      <c r="D12" s="33"/>
      <c r="E12" s="33"/>
      <c r="F12" s="91"/>
      <c r="G12" s="33"/>
    </row>
    <row r="13" spans="1:7" x14ac:dyDescent="0.25">
      <c r="A13" s="23" t="s">
        <v>105</v>
      </c>
      <c r="B13" s="105">
        <v>7.46E-2</v>
      </c>
      <c r="C13" s="105">
        <v>1.7999999999999999E-2</v>
      </c>
      <c r="D13" s="33"/>
      <c r="E13" s="33"/>
      <c r="F13" s="91"/>
      <c r="G13" s="33"/>
    </row>
    <row r="14" spans="1:7" x14ac:dyDescent="0.25">
      <c r="A14" s="23" t="s">
        <v>1</v>
      </c>
      <c r="B14" s="105">
        <v>1</v>
      </c>
      <c r="C14" s="105">
        <v>1</v>
      </c>
      <c r="D14" s="88">
        <v>0.88988047400000003</v>
      </c>
      <c r="E14" s="34">
        <f>(D14*1)/100</f>
        <v>8.8988047400000003E-3</v>
      </c>
      <c r="F14" s="90">
        <v>0.72089613799999996</v>
      </c>
      <c r="G14" s="34">
        <f>(F14*1)/100</f>
        <v>7.2089613800000001E-3</v>
      </c>
    </row>
    <row r="15" spans="1:7" x14ac:dyDescent="0.25">
      <c r="A15" s="23" t="s">
        <v>108</v>
      </c>
      <c r="B15" s="105">
        <v>1.9699999999999999E-4</v>
      </c>
      <c r="C15" s="105">
        <v>1.9100000000000001E-4</v>
      </c>
      <c r="D15" s="33"/>
      <c r="E15" s="33"/>
      <c r="F15" s="33"/>
      <c r="G15" s="33"/>
    </row>
    <row r="16" spans="1:7" x14ac:dyDescent="0.25">
      <c r="A16" s="23" t="s">
        <v>173</v>
      </c>
      <c r="B16" s="105">
        <v>0</v>
      </c>
      <c r="C16" s="105">
        <v>0</v>
      </c>
      <c r="D16" s="33"/>
      <c r="E16" s="33"/>
      <c r="F16" s="33"/>
      <c r="G16" s="33"/>
    </row>
    <row r="17" spans="1:7" x14ac:dyDescent="0.25">
      <c r="A17" s="23" t="s">
        <v>109</v>
      </c>
      <c r="B17" s="105">
        <v>0.81399999999999995</v>
      </c>
      <c r="C17" s="105">
        <v>0.53600000000000003</v>
      </c>
      <c r="D17" s="33"/>
      <c r="E17" s="33"/>
      <c r="F17" s="33"/>
      <c r="G17" s="33"/>
    </row>
    <row r="18" spans="1:7" x14ac:dyDescent="0.25">
      <c r="A18" s="23" t="s">
        <v>174</v>
      </c>
      <c r="B18" s="105">
        <v>0</v>
      </c>
      <c r="C18" s="105">
        <v>0</v>
      </c>
      <c r="D18" s="33"/>
      <c r="E18" s="33"/>
      <c r="F18" s="33"/>
      <c r="G18" s="33"/>
    </row>
    <row r="19" spans="1:7" x14ac:dyDescent="0.25">
      <c r="A19" s="23" t="s">
        <v>175</v>
      </c>
      <c r="B19" s="105">
        <v>0</v>
      </c>
      <c r="C19" s="105">
        <v>0</v>
      </c>
      <c r="D19" s="33"/>
      <c r="E19" s="33"/>
      <c r="F19" s="33"/>
      <c r="G19" s="33"/>
    </row>
    <row r="20" spans="1:7" x14ac:dyDescent="0.25">
      <c r="A20" s="23" t="s">
        <v>107</v>
      </c>
      <c r="B20" s="105">
        <v>0.88400000000000001</v>
      </c>
      <c r="C20" s="105">
        <v>0.69</v>
      </c>
      <c r="D20" s="33"/>
      <c r="E20" s="33"/>
      <c r="F20" s="33"/>
      <c r="G20" s="33"/>
    </row>
    <row r="21" spans="1:7" x14ac:dyDescent="0.25">
      <c r="A21" s="23" t="s">
        <v>176</v>
      </c>
      <c r="B21" s="105">
        <v>0</v>
      </c>
      <c r="C21" s="105">
        <v>0</v>
      </c>
      <c r="D21" s="33"/>
      <c r="E21" s="33"/>
      <c r="F21" s="33"/>
      <c r="G21" s="33"/>
    </row>
    <row r="22" spans="1:7" x14ac:dyDescent="0.25">
      <c r="A22" s="23" t="s">
        <v>111</v>
      </c>
      <c r="B22" s="106">
        <v>0.81399999999999995</v>
      </c>
      <c r="C22" s="106">
        <v>0.53600000000000003</v>
      </c>
    </row>
    <row r="23" spans="1:7" x14ac:dyDescent="0.25">
      <c r="A23" s="23" t="s">
        <v>106</v>
      </c>
      <c r="B23" s="106">
        <v>0.98699999999999999</v>
      </c>
      <c r="C23" s="106">
        <v>0.95699999999999996</v>
      </c>
    </row>
    <row r="24" spans="1:7" x14ac:dyDescent="0.25">
      <c r="A24" s="23" t="s">
        <v>110</v>
      </c>
      <c r="B24" s="106">
        <v>1.97E-7</v>
      </c>
      <c r="C24" s="106">
        <v>1.91E-7</v>
      </c>
    </row>
    <row r="25" spans="1:7" x14ac:dyDescent="0.25">
      <c r="A25" s="23" t="s">
        <v>177</v>
      </c>
      <c r="B25" s="106">
        <v>0</v>
      </c>
      <c r="C25" s="106">
        <v>0</v>
      </c>
    </row>
    <row r="26" spans="1:7" x14ac:dyDescent="0.25">
      <c r="A26" s="23" t="s">
        <v>112</v>
      </c>
      <c r="B26" s="106">
        <v>1.7000000000000001E-4</v>
      </c>
      <c r="C26" s="106">
        <v>1.11E-4</v>
      </c>
    </row>
  </sheetData>
  <sheetProtection algorithmName="SHA-512" hashValue="T52XIZkUpBP5Ll6vPOijv2TTjdMTM+ccIgLwdLh4geIdcplQ3rBkmwEWP9YXUTnlic7rk1+6TMHGMpVDbnxXPQ==" saltValue="ySwoP9adZ3gGhiguSIbwr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05B3-9C4B-4D16-9310-C90D21DDC079}">
  <dimension ref="A1:G43"/>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140625" defaultRowHeight="15" x14ac:dyDescent="0.25"/>
  <cols>
    <col min="1" max="1" width="14.140625" style="32" bestFit="1" customWidth="1"/>
    <col min="2" max="3" width="12" style="32" bestFit="1" customWidth="1"/>
    <col min="4" max="4" width="8.140625" style="32" bestFit="1" customWidth="1"/>
    <col min="5" max="5" width="12.28515625" style="32" bestFit="1" customWidth="1"/>
    <col min="6" max="6" width="9.140625" style="32"/>
    <col min="7" max="7" width="13.42578125" style="32" bestFit="1" customWidth="1"/>
    <col min="8" max="16384" width="9.140625" style="32"/>
  </cols>
  <sheetData>
    <row r="1" spans="1:7" x14ac:dyDescent="0.25">
      <c r="A1" s="17" t="s">
        <v>158</v>
      </c>
      <c r="B1" s="35" t="s">
        <v>116</v>
      </c>
      <c r="C1" s="35" t="s">
        <v>117</v>
      </c>
      <c r="D1" s="35" t="s">
        <v>143</v>
      </c>
      <c r="E1" s="35" t="s">
        <v>144</v>
      </c>
      <c r="F1" s="35" t="s">
        <v>145</v>
      </c>
      <c r="G1" s="35" t="s">
        <v>146</v>
      </c>
    </row>
    <row r="2" spans="1:7" x14ac:dyDescent="0.25">
      <c r="A2" s="23" t="s">
        <v>82</v>
      </c>
      <c r="B2" s="89">
        <v>1</v>
      </c>
      <c r="C2" s="89">
        <v>1</v>
      </c>
      <c r="D2" s="92">
        <v>0.14888083299999999</v>
      </c>
      <c r="E2" s="34">
        <f>(D2*1)/162</f>
        <v>9.1901748765432095E-4</v>
      </c>
      <c r="F2" s="90">
        <v>0.14888083299999999</v>
      </c>
      <c r="G2" s="34">
        <f>(F2*1)/162</f>
        <v>9.1901748765432095E-4</v>
      </c>
    </row>
    <row r="3" spans="1:7" x14ac:dyDescent="0.25">
      <c r="A3" s="23" t="s">
        <v>96</v>
      </c>
      <c r="B3" s="89">
        <v>0.14879999999999999</v>
      </c>
      <c r="C3" s="89">
        <v>0.14879999999999999</v>
      </c>
      <c r="D3" s="93"/>
      <c r="E3" s="33"/>
      <c r="F3" s="91"/>
      <c r="G3" s="33"/>
    </row>
    <row r="4" spans="1:7" x14ac:dyDescent="0.25">
      <c r="A4" s="23" t="s">
        <v>97</v>
      </c>
      <c r="B4" s="89">
        <v>0.18709999999999999</v>
      </c>
      <c r="C4" s="89">
        <v>0.18709999999999999</v>
      </c>
      <c r="D4" s="93"/>
      <c r="E4" s="33"/>
      <c r="F4" s="91"/>
      <c r="G4" s="33"/>
    </row>
    <row r="5" spans="1:7" x14ac:dyDescent="0.25">
      <c r="A5" s="23" t="s">
        <v>98</v>
      </c>
      <c r="B5" s="89">
        <v>4.0000000000000002E-4</v>
      </c>
      <c r="C5" s="89">
        <v>4.0000000000000002E-4</v>
      </c>
      <c r="D5" s="93"/>
      <c r="E5" s="33"/>
      <c r="F5" s="91"/>
      <c r="G5" s="33"/>
    </row>
    <row r="6" spans="1:7" x14ac:dyDescent="0.25">
      <c r="A6" s="23" t="s">
        <v>99</v>
      </c>
      <c r="B6" s="89">
        <v>0.99670000000000003</v>
      </c>
      <c r="C6" s="89">
        <v>0.99670000000000003</v>
      </c>
      <c r="D6" s="93"/>
      <c r="E6" s="33"/>
      <c r="F6" s="91"/>
      <c r="G6" s="33"/>
    </row>
    <row r="7" spans="1:7" x14ac:dyDescent="0.25">
      <c r="A7" s="23" t="s">
        <v>100</v>
      </c>
      <c r="B7" s="89">
        <v>9.4299999999999995E-2</v>
      </c>
      <c r="C7" s="89">
        <v>9.4299999999999995E-2</v>
      </c>
      <c r="D7" s="93"/>
      <c r="E7" s="33"/>
      <c r="F7" s="91"/>
      <c r="G7" s="33"/>
    </row>
    <row r="8" spans="1:7" x14ac:dyDescent="0.25">
      <c r="A8" s="23" t="s">
        <v>0</v>
      </c>
      <c r="B8" s="89">
        <v>1</v>
      </c>
      <c r="C8" s="89">
        <v>1</v>
      </c>
      <c r="D8" s="92">
        <v>1.5711880000000001E-3</v>
      </c>
      <c r="E8" s="34">
        <f>(D8*1)/7.5</f>
        <v>2.0949173333333334E-4</v>
      </c>
      <c r="F8" s="90">
        <v>1.5711880000000001E-3</v>
      </c>
      <c r="G8" s="34">
        <f>(F8*1)/7.5</f>
        <v>2.0949173333333334E-4</v>
      </c>
    </row>
    <row r="9" spans="1:7" x14ac:dyDescent="0.25">
      <c r="A9" s="23" t="s">
        <v>101</v>
      </c>
      <c r="B9" s="89">
        <v>1.6000000000000001E-3</v>
      </c>
      <c r="C9" s="89">
        <v>1.6000000000000001E-3</v>
      </c>
      <c r="D9" s="93"/>
      <c r="E9" s="33"/>
      <c r="F9" s="91"/>
      <c r="G9" s="33"/>
    </row>
    <row r="10" spans="1:7" x14ac:dyDescent="0.25">
      <c r="A10" s="23" t="s">
        <v>102</v>
      </c>
      <c r="B10" s="89">
        <v>1.29E-2</v>
      </c>
      <c r="C10" s="89">
        <v>1.29E-2</v>
      </c>
      <c r="D10" s="93"/>
      <c r="E10" s="33"/>
      <c r="F10" s="91"/>
      <c r="G10" s="33"/>
    </row>
    <row r="11" spans="1:7" x14ac:dyDescent="0.25">
      <c r="A11" s="23" t="s">
        <v>103</v>
      </c>
      <c r="B11" s="89">
        <v>1E-3</v>
      </c>
      <c r="C11" s="89">
        <v>1E-3</v>
      </c>
      <c r="D11" s="93"/>
      <c r="E11" s="33"/>
      <c r="F11" s="91"/>
      <c r="G11" s="33"/>
    </row>
    <row r="12" spans="1:7" x14ac:dyDescent="0.25">
      <c r="A12" s="23" t="s">
        <v>104</v>
      </c>
      <c r="B12" s="89">
        <v>0.99970000000000003</v>
      </c>
      <c r="C12" s="89">
        <v>0.99970000000000003</v>
      </c>
      <c r="D12" s="93"/>
      <c r="E12" s="33"/>
      <c r="F12" s="91"/>
      <c r="G12" s="33"/>
    </row>
    <row r="13" spans="1:7" x14ac:dyDescent="0.25">
      <c r="A13" s="23" t="s">
        <v>105</v>
      </c>
      <c r="B13" s="89">
        <v>4.0000000000000002E-4</v>
      </c>
      <c r="C13" s="89">
        <v>4.0000000000000002E-4</v>
      </c>
      <c r="D13" s="93"/>
      <c r="E13" s="33"/>
      <c r="F13" s="91"/>
      <c r="G13" s="33"/>
    </row>
    <row r="14" spans="1:7" x14ac:dyDescent="0.25">
      <c r="A14" s="23" t="s">
        <v>1</v>
      </c>
      <c r="B14" s="105">
        <v>1</v>
      </c>
      <c r="C14" s="105">
        <v>1</v>
      </c>
      <c r="D14" s="92">
        <v>0.34793244400000001</v>
      </c>
      <c r="E14" s="34">
        <f>(D14*1)/100</f>
        <v>3.4793244400000002E-3</v>
      </c>
      <c r="F14" s="90">
        <v>0.34793244400000001</v>
      </c>
      <c r="G14" s="34">
        <f>(F14*1)/100</f>
        <v>3.4793244400000002E-3</v>
      </c>
    </row>
    <row r="15" spans="1:7" x14ac:dyDescent="0.25">
      <c r="A15" s="23" t="s">
        <v>108</v>
      </c>
      <c r="B15" s="105">
        <v>1.45E-4</v>
      </c>
      <c r="C15" s="105">
        <v>1.45E-4</v>
      </c>
      <c r="D15" s="33"/>
      <c r="E15" s="33"/>
      <c r="F15" s="33"/>
      <c r="G15" s="33"/>
    </row>
    <row r="16" spans="1:7" x14ac:dyDescent="0.25">
      <c r="A16" s="23" t="s">
        <v>173</v>
      </c>
      <c r="B16" s="105">
        <v>0</v>
      </c>
      <c r="C16" s="105">
        <v>0</v>
      </c>
      <c r="D16" s="33"/>
      <c r="E16" s="33"/>
      <c r="F16" s="33"/>
      <c r="G16" s="33"/>
    </row>
    <row r="17" spans="1:7" x14ac:dyDescent="0.25">
      <c r="A17" s="23" t="s">
        <v>109</v>
      </c>
      <c r="B17" s="105">
        <v>5.0900000000000001E-2</v>
      </c>
      <c r="C17" s="105">
        <v>5.0900000000000001E-2</v>
      </c>
      <c r="D17" s="33"/>
      <c r="E17" s="33"/>
      <c r="F17" s="33"/>
      <c r="G17" s="33"/>
    </row>
    <row r="18" spans="1:7" x14ac:dyDescent="0.25">
      <c r="A18" s="23" t="s">
        <v>174</v>
      </c>
      <c r="B18" s="105">
        <v>0</v>
      </c>
      <c r="C18" s="105">
        <v>0</v>
      </c>
      <c r="D18" s="33"/>
      <c r="E18" s="33"/>
      <c r="F18" s="33"/>
      <c r="G18" s="33"/>
    </row>
    <row r="19" spans="1:7" x14ac:dyDescent="0.25">
      <c r="A19" s="23" t="s">
        <v>175</v>
      </c>
      <c r="B19" s="105">
        <v>0</v>
      </c>
      <c r="C19" s="105">
        <v>0</v>
      </c>
      <c r="D19" s="33"/>
      <c r="E19" s="33"/>
      <c r="F19" s="33"/>
      <c r="G19" s="33"/>
    </row>
    <row r="20" spans="1:7" x14ac:dyDescent="0.25">
      <c r="A20" s="23" t="s">
        <v>107</v>
      </c>
      <c r="B20" s="105">
        <v>0.17299999999999999</v>
      </c>
      <c r="C20" s="105">
        <v>0.17299999999999999</v>
      </c>
      <c r="D20" s="33"/>
      <c r="E20" s="33"/>
      <c r="F20" s="33"/>
      <c r="G20" s="33"/>
    </row>
    <row r="21" spans="1:7" x14ac:dyDescent="0.25">
      <c r="A21" s="23" t="s">
        <v>176</v>
      </c>
      <c r="B21" s="105">
        <v>0</v>
      </c>
      <c r="C21" s="105">
        <v>0</v>
      </c>
      <c r="D21" s="33"/>
      <c r="E21" s="33"/>
      <c r="F21" s="33"/>
      <c r="G21" s="33"/>
    </row>
    <row r="22" spans="1:7" x14ac:dyDescent="0.25">
      <c r="A22" s="23" t="s">
        <v>111</v>
      </c>
      <c r="B22" s="106">
        <v>5.0900000000000001E-2</v>
      </c>
      <c r="C22" s="106">
        <v>5.0900000000000001E-2</v>
      </c>
    </row>
    <row r="23" spans="1:7" x14ac:dyDescent="0.25">
      <c r="A23" s="23" t="s">
        <v>106</v>
      </c>
      <c r="B23" s="106">
        <v>0.72799999999999998</v>
      </c>
      <c r="C23" s="106">
        <v>0.72799999999999998</v>
      </c>
    </row>
    <row r="24" spans="1:7" x14ac:dyDescent="0.25">
      <c r="A24" s="23" t="s">
        <v>110</v>
      </c>
      <c r="B24" s="106">
        <v>1.4499999999999999E-7</v>
      </c>
      <c r="C24" s="106">
        <v>1.4499999999999999E-7</v>
      </c>
    </row>
    <row r="25" spans="1:7" x14ac:dyDescent="0.25">
      <c r="A25" s="23" t="s">
        <v>177</v>
      </c>
      <c r="B25" s="106">
        <v>0</v>
      </c>
      <c r="C25" s="106">
        <v>0</v>
      </c>
    </row>
    <row r="26" spans="1:7" x14ac:dyDescent="0.25">
      <c r="A26" s="23" t="s">
        <v>112</v>
      </c>
      <c r="B26" s="106">
        <v>9.2399999999999996E-6</v>
      </c>
      <c r="C26" s="106">
        <v>9.2399999999999996E-6</v>
      </c>
    </row>
    <row r="27" spans="1:7" x14ac:dyDescent="0.25">
      <c r="A27" s="23"/>
      <c r="B27" s="87"/>
      <c r="C27" s="87"/>
    </row>
    <row r="28" spans="1:7" x14ac:dyDescent="0.25">
      <c r="A28" s="23"/>
      <c r="B28" s="87"/>
      <c r="C28" s="87"/>
    </row>
    <row r="29" spans="1:7" x14ac:dyDescent="0.25">
      <c r="A29" s="23"/>
      <c r="B29" s="87"/>
      <c r="C29" s="87"/>
    </row>
    <row r="30" spans="1:7" x14ac:dyDescent="0.25">
      <c r="A30" s="23"/>
      <c r="B30" s="87"/>
      <c r="C30" s="87"/>
    </row>
    <row r="31" spans="1:7" x14ac:dyDescent="0.25">
      <c r="A31" s="23"/>
      <c r="B31" s="87"/>
      <c r="C31" s="87"/>
    </row>
    <row r="32" spans="1:7" x14ac:dyDescent="0.25">
      <c r="A32" s="23"/>
      <c r="B32" s="87"/>
      <c r="C32" s="87"/>
    </row>
    <row r="33" spans="1:3" x14ac:dyDescent="0.25">
      <c r="A33" s="23"/>
      <c r="B33" s="87"/>
      <c r="C33" s="87"/>
    </row>
    <row r="34" spans="1:3" x14ac:dyDescent="0.25">
      <c r="A34" s="23"/>
      <c r="B34" s="87"/>
      <c r="C34" s="87"/>
    </row>
    <row r="35" spans="1:3" x14ac:dyDescent="0.25">
      <c r="A35" s="23"/>
      <c r="B35" s="87"/>
      <c r="C35" s="87"/>
    </row>
    <row r="36" spans="1:3" x14ac:dyDescent="0.25">
      <c r="A36" s="23"/>
      <c r="B36" s="87"/>
      <c r="C36" s="87"/>
    </row>
    <row r="37" spans="1:3" x14ac:dyDescent="0.25">
      <c r="A37" s="23"/>
      <c r="B37" s="87"/>
      <c r="C37" s="87"/>
    </row>
    <row r="38" spans="1:3" x14ac:dyDescent="0.25">
      <c r="A38" s="23"/>
      <c r="B38" s="87"/>
      <c r="C38" s="87"/>
    </row>
    <row r="39" spans="1:3" x14ac:dyDescent="0.25">
      <c r="A39" s="23"/>
      <c r="B39" s="87"/>
      <c r="C39" s="87"/>
    </row>
    <row r="40" spans="1:3" x14ac:dyDescent="0.25">
      <c r="A40" s="23"/>
      <c r="B40" s="87"/>
      <c r="C40" s="87"/>
    </row>
    <row r="41" spans="1:3" x14ac:dyDescent="0.25">
      <c r="A41" s="23"/>
      <c r="B41" s="87"/>
      <c r="C41" s="87"/>
    </row>
    <row r="42" spans="1:3" x14ac:dyDescent="0.25">
      <c r="A42" s="23"/>
      <c r="B42" s="87"/>
      <c r="C42" s="87"/>
    </row>
    <row r="43" spans="1:3" x14ac:dyDescent="0.25">
      <c r="A43" s="23"/>
      <c r="B43" s="87"/>
      <c r="C43" s="87"/>
    </row>
  </sheetData>
  <sheetProtection algorithmName="SHA-512" hashValue="pWqk/6Vg0MjZKpez6OZrQoTVxHRzZGq2oK0Qwef2NAUli3JxsFpUfYBhmrLaM9Q7zelnx9suPSm/0jYF4yTNzw==" saltValue="3yquJaHvNWJcmvDESGgjg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zoomScale="85" zoomScaleNormal="85" workbookViewId="0">
      <selection sqref="A1:C1"/>
    </sheetView>
  </sheetViews>
  <sheetFormatPr defaultColWidth="9.140625" defaultRowHeight="15" x14ac:dyDescent="0.25"/>
  <cols>
    <col min="1" max="2" width="12.28515625" style="32" bestFit="1" customWidth="1"/>
    <col min="3" max="3" width="10.42578125" style="32" bestFit="1" customWidth="1"/>
    <col min="4" max="4" width="14.42578125" style="32" bestFit="1" customWidth="1"/>
    <col min="5" max="5" width="12.28515625" style="32" bestFit="1" customWidth="1"/>
    <col min="6" max="6" width="10.42578125" style="32" bestFit="1" customWidth="1"/>
    <col min="7" max="11" width="9.140625" style="32"/>
    <col min="12" max="12" width="9" style="32" customWidth="1"/>
    <col min="13" max="16384" width="9.140625" style="32"/>
  </cols>
  <sheetData>
    <row r="1" spans="1:6" ht="19.5" thickBot="1" x14ac:dyDescent="0.35">
      <c r="A1" s="107" t="s">
        <v>32</v>
      </c>
      <c r="B1" s="108"/>
      <c r="C1" s="109"/>
      <c r="D1" s="107" t="s">
        <v>33</v>
      </c>
      <c r="E1" s="108"/>
      <c r="F1" s="109"/>
    </row>
    <row r="2" spans="1:6" x14ac:dyDescent="0.25">
      <c r="A2" s="36" t="s">
        <v>4</v>
      </c>
      <c r="B2" s="37">
        <v>9.9999999999999995E-7</v>
      </c>
      <c r="C2" s="38"/>
      <c r="D2" s="36" t="s">
        <v>39</v>
      </c>
      <c r="E2" s="37">
        <v>1E-4</v>
      </c>
      <c r="F2" s="38"/>
    </row>
    <row r="3" spans="1:6" x14ac:dyDescent="0.25">
      <c r="A3" s="39" t="s">
        <v>88</v>
      </c>
      <c r="B3" s="40">
        <v>1</v>
      </c>
      <c r="C3" s="41"/>
      <c r="D3" s="39" t="s">
        <v>89</v>
      </c>
      <c r="E3" s="40">
        <v>5</v>
      </c>
      <c r="F3" s="41"/>
    </row>
    <row r="4" spans="1:6" x14ac:dyDescent="0.25">
      <c r="A4" s="39" t="s">
        <v>169</v>
      </c>
      <c r="B4" s="40">
        <v>0.02</v>
      </c>
      <c r="C4" s="41"/>
      <c r="D4" s="39" t="s">
        <v>170</v>
      </c>
      <c r="E4" s="40">
        <v>0.05</v>
      </c>
      <c r="F4" s="41"/>
    </row>
    <row r="5" spans="1:6" x14ac:dyDescent="0.25">
      <c r="A5" s="39" t="s">
        <v>5</v>
      </c>
      <c r="B5" s="50">
        <f>EDres</f>
        <v>26</v>
      </c>
      <c r="C5" s="41" t="s">
        <v>34</v>
      </c>
      <c r="D5" s="39" t="s">
        <v>40</v>
      </c>
      <c r="E5" s="50">
        <f>s_EDres</f>
        <v>20</v>
      </c>
      <c r="F5" s="41" t="s">
        <v>34</v>
      </c>
    </row>
    <row r="6" spans="1:6" x14ac:dyDescent="0.25">
      <c r="A6" s="39" t="s">
        <v>6</v>
      </c>
      <c r="B6" s="50">
        <f>EDw</f>
        <v>25</v>
      </c>
      <c r="C6" s="41" t="s">
        <v>34</v>
      </c>
      <c r="D6" s="39" t="s">
        <v>41</v>
      </c>
      <c r="E6" s="50">
        <f>s_EDw</f>
        <v>20</v>
      </c>
      <c r="F6" s="41" t="s">
        <v>34</v>
      </c>
    </row>
    <row r="7" spans="1:6" x14ac:dyDescent="0.25">
      <c r="A7" s="39" t="s">
        <v>7</v>
      </c>
      <c r="B7" s="40">
        <v>6</v>
      </c>
      <c r="C7" s="41" t="s">
        <v>34</v>
      </c>
      <c r="D7" s="39" t="s">
        <v>42</v>
      </c>
      <c r="E7" s="40">
        <v>5</v>
      </c>
      <c r="F7" s="41" t="s">
        <v>34</v>
      </c>
    </row>
    <row r="8" spans="1:6" x14ac:dyDescent="0.25">
      <c r="A8" s="39" t="s">
        <v>8</v>
      </c>
      <c r="B8" s="40">
        <v>20</v>
      </c>
      <c r="C8" s="41" t="s">
        <v>34</v>
      </c>
      <c r="D8" s="39" t="s">
        <v>43</v>
      </c>
      <c r="E8" s="40">
        <v>15</v>
      </c>
      <c r="F8" s="41" t="s">
        <v>34</v>
      </c>
    </row>
    <row r="9" spans="1:6" x14ac:dyDescent="0.25">
      <c r="A9" s="39" t="s">
        <v>9</v>
      </c>
      <c r="B9" s="50">
        <f>SUM(B7:B8)</f>
        <v>26</v>
      </c>
      <c r="C9" s="41" t="s">
        <v>34</v>
      </c>
      <c r="D9" s="39" t="s">
        <v>44</v>
      </c>
      <c r="E9" s="50">
        <f>SUM(E7:E8)</f>
        <v>20</v>
      </c>
      <c r="F9" s="41" t="s">
        <v>34</v>
      </c>
    </row>
    <row r="10" spans="1:6" x14ac:dyDescent="0.25">
      <c r="A10" s="39" t="s">
        <v>10</v>
      </c>
      <c r="B10" s="40">
        <v>350</v>
      </c>
      <c r="C10" s="41" t="s">
        <v>35</v>
      </c>
      <c r="D10" s="39" t="s">
        <v>45</v>
      </c>
      <c r="E10" s="40">
        <v>55</v>
      </c>
      <c r="F10" s="41" t="s">
        <v>35</v>
      </c>
    </row>
    <row r="11" spans="1:6" x14ac:dyDescent="0.25">
      <c r="A11" s="39" t="s">
        <v>11</v>
      </c>
      <c r="B11" s="40">
        <v>350</v>
      </c>
      <c r="C11" s="41" t="s">
        <v>35</v>
      </c>
      <c r="D11" s="39" t="s">
        <v>46</v>
      </c>
      <c r="E11" s="40">
        <v>55</v>
      </c>
      <c r="F11" s="41" t="s">
        <v>35</v>
      </c>
    </row>
    <row r="12" spans="1:6" x14ac:dyDescent="0.25">
      <c r="A12" s="39" t="s">
        <v>12</v>
      </c>
      <c r="B12" s="40">
        <v>350</v>
      </c>
      <c r="C12" s="41" t="s">
        <v>35</v>
      </c>
      <c r="D12" s="39" t="s">
        <v>47</v>
      </c>
      <c r="E12" s="40">
        <v>55</v>
      </c>
      <c r="F12" s="41" t="s">
        <v>35</v>
      </c>
    </row>
    <row r="13" spans="1:6" x14ac:dyDescent="0.25">
      <c r="A13" s="39" t="s">
        <v>13</v>
      </c>
      <c r="B13" s="40">
        <v>24</v>
      </c>
      <c r="C13" s="41" t="s">
        <v>36</v>
      </c>
      <c r="D13" s="39" t="s">
        <v>48</v>
      </c>
      <c r="E13" s="40">
        <v>5</v>
      </c>
      <c r="F13" s="41" t="s">
        <v>36</v>
      </c>
    </row>
    <row r="14" spans="1:6" x14ac:dyDescent="0.25">
      <c r="A14" s="39" t="s">
        <v>14</v>
      </c>
      <c r="B14" s="40">
        <v>24</v>
      </c>
      <c r="C14" s="41" t="s">
        <v>36</v>
      </c>
      <c r="D14" s="39" t="s">
        <v>49</v>
      </c>
      <c r="E14" s="40">
        <v>5</v>
      </c>
      <c r="F14" s="41" t="s">
        <v>36</v>
      </c>
    </row>
    <row r="15" spans="1:6" x14ac:dyDescent="0.25">
      <c r="A15" s="39" t="s">
        <v>15</v>
      </c>
      <c r="B15" s="40">
        <v>24</v>
      </c>
      <c r="C15" s="41" t="s">
        <v>36</v>
      </c>
      <c r="D15" s="39" t="s">
        <v>50</v>
      </c>
      <c r="E15" s="40">
        <v>5</v>
      </c>
      <c r="F15" s="41" t="s">
        <v>36</v>
      </c>
    </row>
    <row r="16" spans="1:6" x14ac:dyDescent="0.25">
      <c r="A16" s="39" t="s">
        <v>16</v>
      </c>
      <c r="B16" s="40">
        <v>10</v>
      </c>
      <c r="C16" s="41" t="s">
        <v>37</v>
      </c>
      <c r="D16" s="39" t="s">
        <v>51</v>
      </c>
      <c r="E16" s="40">
        <v>5</v>
      </c>
      <c r="F16" s="41" t="s">
        <v>37</v>
      </c>
    </row>
    <row r="17" spans="1:7" x14ac:dyDescent="0.25">
      <c r="A17" s="39" t="s">
        <v>17</v>
      </c>
      <c r="B17" s="40">
        <v>20</v>
      </c>
      <c r="C17" s="41" t="s">
        <v>37</v>
      </c>
      <c r="D17" s="39" t="s">
        <v>52</v>
      </c>
      <c r="E17" s="40">
        <v>10</v>
      </c>
      <c r="F17" s="41" t="s">
        <v>37</v>
      </c>
    </row>
    <row r="18" spans="1:7" x14ac:dyDescent="0.25">
      <c r="A18" s="39" t="s">
        <v>18</v>
      </c>
      <c r="B18" s="50">
        <f>(EFres_c*EDres_c*ETres_c*(1/24)*IRAres_c)+(EFres_a*EDres_a*ETres_a*(1/24)*IRAres_a)</f>
        <v>161000</v>
      </c>
      <c r="C18" s="41" t="s">
        <v>38</v>
      </c>
      <c r="D18" s="39" t="s">
        <v>53</v>
      </c>
      <c r="E18" s="51">
        <f>(s_EFres_c*s_EDres_c*s_ETres_c*(1/24)*s_IRAres_c)+(s_EFres_a*s_EDres_a*s_ETres_a*(1/24)*s_IRAres_a)</f>
        <v>2005.2083333333333</v>
      </c>
      <c r="F18" s="41" t="s">
        <v>38</v>
      </c>
    </row>
    <row r="19" spans="1:7" x14ac:dyDescent="0.25">
      <c r="A19" s="42" t="s">
        <v>90</v>
      </c>
      <c r="B19" s="50">
        <f>(EFres_c*AAFres_c*ETres_c*(1/24)*IRAres_c)+(EFres_a*AAFres_a*ETres_a*(1/24)*IRAres_a)</f>
        <v>6192.3076923076906</v>
      </c>
      <c r="D19" s="42" t="s">
        <v>91</v>
      </c>
      <c r="E19" s="51">
        <f>(s_EFres_c*s_AAFres_c*s_ETres_c*(1/24)*s_IRAres_c)+(s_EFres_a*s_AAFres_a*s_ETres_a*(1/24)*s_IRAres_a)</f>
        <v>100.26041666666666</v>
      </c>
      <c r="F19" s="41"/>
    </row>
    <row r="20" spans="1:7" x14ac:dyDescent="0.25">
      <c r="A20" s="42" t="s">
        <v>92</v>
      </c>
      <c r="B20" s="52">
        <f>EDres_c/EDres</f>
        <v>0.23076923076923078</v>
      </c>
      <c r="D20" s="42" t="s">
        <v>95</v>
      </c>
      <c r="E20" s="52">
        <f>s_EDres_c/s_EDres</f>
        <v>0.25</v>
      </c>
      <c r="F20" s="41"/>
    </row>
    <row r="21" spans="1:7" x14ac:dyDescent="0.25">
      <c r="A21" s="42" t="s">
        <v>94</v>
      </c>
      <c r="B21" s="52">
        <f>EDres_a/EDres</f>
        <v>0.76923076923076927</v>
      </c>
      <c r="D21" s="42" t="s">
        <v>93</v>
      </c>
      <c r="E21" s="52">
        <f>s_EDres_a/s_EDres</f>
        <v>0.75</v>
      </c>
      <c r="F21" s="41"/>
    </row>
    <row r="22" spans="1:7" x14ac:dyDescent="0.25">
      <c r="A22" s="39" t="s">
        <v>21</v>
      </c>
      <c r="B22" s="40">
        <v>1</v>
      </c>
      <c r="C22" s="41"/>
      <c r="D22" s="39" t="s">
        <v>54</v>
      </c>
      <c r="E22" s="40">
        <v>2</v>
      </c>
      <c r="F22" s="41"/>
    </row>
    <row r="23" spans="1:7" x14ac:dyDescent="0.25">
      <c r="A23" s="39" t="s">
        <v>26</v>
      </c>
      <c r="B23" s="40">
        <v>1E-3</v>
      </c>
      <c r="C23" s="41"/>
      <c r="D23" s="39" t="s">
        <v>55</v>
      </c>
      <c r="E23" s="40">
        <v>2E-3</v>
      </c>
      <c r="F23" s="41"/>
    </row>
    <row r="24" spans="1:7" x14ac:dyDescent="0.25">
      <c r="A24" s="39" t="s">
        <v>27</v>
      </c>
      <c r="B24" s="40">
        <v>0.03</v>
      </c>
      <c r="C24" s="41"/>
      <c r="D24" s="39" t="s">
        <v>56</v>
      </c>
      <c r="E24" s="40">
        <v>0.05</v>
      </c>
      <c r="F24" s="41"/>
    </row>
    <row r="25" spans="1:7" x14ac:dyDescent="0.25">
      <c r="A25" s="39" t="s">
        <v>28</v>
      </c>
      <c r="B25" s="40">
        <v>25</v>
      </c>
      <c r="C25" s="41" t="s">
        <v>30</v>
      </c>
      <c r="D25" s="39" t="s">
        <v>57</v>
      </c>
      <c r="E25" s="40">
        <v>15</v>
      </c>
      <c r="F25" s="41" t="s">
        <v>30</v>
      </c>
    </row>
    <row r="26" spans="1:7" x14ac:dyDescent="0.25">
      <c r="A26" s="39" t="s">
        <v>29</v>
      </c>
      <c r="B26" s="50">
        <f>273.15+Tgw</f>
        <v>298.14999999999998</v>
      </c>
      <c r="C26" s="41" t="s">
        <v>31</v>
      </c>
      <c r="D26" s="39" t="s">
        <v>58</v>
      </c>
      <c r="E26" s="50">
        <f>273.15+s_Tgw</f>
        <v>288.14999999999998</v>
      </c>
      <c r="F26" s="41" t="s">
        <v>31</v>
      </c>
    </row>
    <row r="27" spans="1:7" x14ac:dyDescent="0.25">
      <c r="A27" s="39" t="s">
        <v>69</v>
      </c>
      <c r="B27" s="40">
        <v>250</v>
      </c>
      <c r="C27" s="41" t="s">
        <v>35</v>
      </c>
      <c r="D27" s="39" t="s">
        <v>73</v>
      </c>
      <c r="E27" s="40">
        <v>55</v>
      </c>
      <c r="F27" s="41" t="s">
        <v>35</v>
      </c>
    </row>
    <row r="28" spans="1:7" x14ac:dyDescent="0.25">
      <c r="A28" s="39" t="s">
        <v>70</v>
      </c>
      <c r="B28" s="40">
        <v>25</v>
      </c>
      <c r="C28" s="41" t="s">
        <v>34</v>
      </c>
      <c r="D28" s="39" t="s">
        <v>74</v>
      </c>
      <c r="E28" s="40">
        <v>20</v>
      </c>
      <c r="F28" s="41" t="s">
        <v>34</v>
      </c>
    </row>
    <row r="29" spans="1:7" x14ac:dyDescent="0.25">
      <c r="A29" s="39" t="s">
        <v>71</v>
      </c>
      <c r="B29" s="40">
        <v>8</v>
      </c>
      <c r="C29" s="41" t="s">
        <v>36</v>
      </c>
      <c r="D29" s="39" t="s">
        <v>75</v>
      </c>
      <c r="E29" s="40">
        <v>5</v>
      </c>
      <c r="F29" s="41" t="s">
        <v>36</v>
      </c>
    </row>
    <row r="30" spans="1:7" x14ac:dyDescent="0.25">
      <c r="A30" s="39" t="s">
        <v>72</v>
      </c>
      <c r="B30" s="40">
        <v>60</v>
      </c>
      <c r="C30" s="41" t="s">
        <v>37</v>
      </c>
      <c r="D30" s="39" t="s">
        <v>76</v>
      </c>
      <c r="E30" s="40">
        <v>30</v>
      </c>
      <c r="F30" s="41" t="s">
        <v>37</v>
      </c>
    </row>
    <row r="31" spans="1:7" x14ac:dyDescent="0.25">
      <c r="A31" s="39" t="s">
        <v>83</v>
      </c>
      <c r="B31" s="43">
        <v>5</v>
      </c>
      <c r="C31" s="41"/>
      <c r="D31" s="39" t="s">
        <v>84</v>
      </c>
      <c r="E31" s="43">
        <v>5</v>
      </c>
      <c r="F31" s="41"/>
      <c r="G31" s="44"/>
    </row>
    <row r="32" spans="1:7" x14ac:dyDescent="0.25">
      <c r="A32" s="39" t="s">
        <v>79</v>
      </c>
      <c r="B32" s="43">
        <v>5</v>
      </c>
      <c r="C32" s="45"/>
      <c r="D32" s="39" t="s">
        <v>85</v>
      </c>
      <c r="E32" s="43">
        <v>5</v>
      </c>
      <c r="F32" s="41"/>
      <c r="G32" s="44"/>
    </row>
    <row r="33" spans="1:7" ht="15.75" thickBot="1" x14ac:dyDescent="0.3">
      <c r="A33" s="46" t="s">
        <v>80</v>
      </c>
      <c r="B33" s="47">
        <v>5</v>
      </c>
      <c r="C33" s="48"/>
      <c r="D33" s="46" t="s">
        <v>86</v>
      </c>
      <c r="E33" s="47">
        <v>5</v>
      </c>
      <c r="F33" s="49"/>
      <c r="G33" s="44"/>
    </row>
    <row r="34" spans="1:7" x14ac:dyDescent="0.25">
      <c r="F34" s="44"/>
      <c r="G34" s="44"/>
    </row>
    <row r="37" spans="1:7" x14ac:dyDescent="0.25">
      <c r="B37" s="44"/>
      <c r="C37" s="44"/>
      <c r="E37" s="44"/>
    </row>
    <row r="38" spans="1:7" x14ac:dyDescent="0.25">
      <c r="B38" s="44"/>
      <c r="E38" s="44"/>
    </row>
    <row r="39" spans="1:7" x14ac:dyDescent="0.25">
      <c r="B39" s="44"/>
      <c r="E39" s="44"/>
    </row>
  </sheetData>
  <sheetProtection algorithmName="SHA-512" hashValue="hhHMp9rKHJXZ0t08r0yFEvDlbCyg52Wb6CN985b2ZZ23fYqDQtZ+DGouj7Wv6Cbj3GjUuKhscyVzeRFK6CVKmQ==" saltValue="TyXJ9kMp6m5nWglBcJqDHA==" spinCount="100000" sheet="1" objects="1" scenarios="1"/>
  <mergeCells count="2">
    <mergeCell ref="A1:C1"/>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3"/>
  <sheetViews>
    <sheetView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 defaultRowHeight="15" x14ac:dyDescent="0.25"/>
  <cols>
    <col min="1" max="1" width="17.7109375" style="40" bestFit="1" customWidth="1"/>
    <col min="2" max="2" width="10.85546875" style="40" bestFit="1" customWidth="1"/>
    <col min="3" max="3" width="9" style="40" bestFit="1" customWidth="1"/>
    <col min="4" max="4" width="8.85546875" style="40" bestFit="1" customWidth="1"/>
    <col min="5" max="5" width="11.140625" style="40" bestFit="1" customWidth="1"/>
    <col min="6" max="6" width="9.28515625" style="40" bestFit="1" customWidth="1"/>
    <col min="7" max="7" width="8.85546875" style="40" bestFit="1" customWidth="1"/>
    <col min="8" max="8" width="10.140625" style="40" bestFit="1" customWidth="1"/>
    <col min="9" max="9" width="10.42578125" style="40" bestFit="1" customWidth="1"/>
    <col min="10" max="10" width="9.85546875" style="40" bestFit="1" customWidth="1"/>
    <col min="11" max="11" width="9.140625" style="40" bestFit="1" customWidth="1"/>
    <col min="12" max="13" width="8.85546875" style="40" bestFit="1" customWidth="1"/>
    <col min="14" max="15" width="8.5703125" style="40" bestFit="1" customWidth="1"/>
    <col min="16" max="19" width="8.85546875" style="40" bestFit="1" customWidth="1"/>
    <col min="20" max="20" width="12.85546875" style="40" bestFit="1" customWidth="1"/>
    <col min="21" max="21" width="10" style="40" bestFit="1" customWidth="1"/>
    <col min="22" max="22" width="8.85546875" style="40" bestFit="1" customWidth="1"/>
    <col min="23" max="23" width="12.140625" style="40" bestFit="1" customWidth="1"/>
    <col min="24" max="24" width="10.285156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29" width="9.140625" style="40" bestFit="1" customWidth="1"/>
    <col min="30" max="31" width="8.85546875" style="40" bestFit="1" customWidth="1"/>
    <col min="32" max="33" width="8.5703125" style="40" bestFit="1" customWidth="1"/>
    <col min="34" max="37" width="8.85546875" style="40" bestFit="1" customWidth="1"/>
    <col min="38" max="16384" width="9" style="40"/>
  </cols>
  <sheetData>
    <row r="1" spans="1:28" x14ac:dyDescent="0.25">
      <c r="A1" s="57" t="s">
        <v>158</v>
      </c>
      <c r="B1" s="58" t="s">
        <v>136</v>
      </c>
      <c r="C1" s="58" t="s">
        <v>137</v>
      </c>
      <c r="D1" s="58" t="s">
        <v>135</v>
      </c>
      <c r="E1" s="58" t="s">
        <v>149</v>
      </c>
      <c r="F1" s="58" t="s">
        <v>150</v>
      </c>
      <c r="G1" s="58" t="s">
        <v>25</v>
      </c>
      <c r="H1" s="58" t="s">
        <v>22</v>
      </c>
      <c r="I1" s="58" t="s">
        <v>23</v>
      </c>
      <c r="J1" s="58" t="s">
        <v>24</v>
      </c>
      <c r="T1" s="61" t="s">
        <v>188</v>
      </c>
      <c r="U1" s="61" t="s">
        <v>189</v>
      </c>
      <c r="V1" s="61" t="s">
        <v>138</v>
      </c>
      <c r="W1" s="61" t="s">
        <v>147</v>
      </c>
      <c r="X1" s="61" t="s">
        <v>148</v>
      </c>
      <c r="Y1" s="61" t="s">
        <v>139</v>
      </c>
      <c r="Z1" s="61" t="s">
        <v>140</v>
      </c>
      <c r="AA1" s="61" t="s">
        <v>141</v>
      </c>
      <c r="AB1" s="61" t="s">
        <v>142</v>
      </c>
    </row>
    <row r="2" spans="1:28" x14ac:dyDescent="0.25">
      <c r="A2" s="57" t="str">
        <f>isospec!A2</f>
        <v>Rn-219</v>
      </c>
      <c r="B2" s="59">
        <f>1/(SUM((1/B3),(1/B4),(1/B5),(1/B6),(1/B7),(1/B8)))</f>
        <v>0.17756617501070096</v>
      </c>
      <c r="C2" s="59">
        <f>1/(SUM((1/C3),(1/C4),(1/C5),(1/C6),(1/C7),(1/C8)))</f>
        <v>1.7756617501070096E-4</v>
      </c>
      <c r="D2" s="59">
        <f>IFERROR(1/(1/D3),0)</f>
        <v>0</v>
      </c>
      <c r="E2" s="59">
        <f>B2/AFss</f>
        <v>5.9188725003566987</v>
      </c>
      <c r="F2" s="59">
        <f>(B2/AFss)/1000</f>
        <v>5.9188725003566983E-3</v>
      </c>
      <c r="G2" s="59">
        <f>IFERROR(B2/(AFgw*1000*isospec!M2),0)</f>
        <v>4.0979605511963134E-2</v>
      </c>
      <c r="H2" s="59">
        <f>1/(1/H5)</f>
        <v>0.17808618112595839</v>
      </c>
      <c r="I2" s="59">
        <f>1/(SUM((1/I3),(1/I4),(1/I5),(1/I6),(1/I7),(1/I8)))</f>
        <v>60.810981019227064</v>
      </c>
      <c r="J2" s="59">
        <f>1/(SUM((1/J3),(1/J4),(1/J5),(1/J6),(1/J7),(1/J8)))</f>
        <v>0.17756617501070096</v>
      </c>
      <c r="T2" s="59">
        <f>1/(SUM((1/T3),(1/T4),(1/T5),(1/T6),(1/T7),(1/T8)))</f>
        <v>0.30140529111045877</v>
      </c>
      <c r="U2" s="59">
        <f>1/(SUM((1/U3),(1/U4),(1/U5),(1/U6),(1/U7),(1/U8)))</f>
        <v>3.014052911104588E-4</v>
      </c>
      <c r="V2" s="59">
        <f>IFERROR(1/(1/V3),0)</f>
        <v>0</v>
      </c>
      <c r="W2" s="59">
        <f>T2/AFss</f>
        <v>10.046843037015293</v>
      </c>
      <c r="X2" s="59">
        <f>(T2/AFss)/1000</f>
        <v>1.0046843037015293E-2</v>
      </c>
      <c r="Y2" s="59">
        <f>IFERROR(T2/(AFgw*1000*isospec!M2),0)</f>
        <v>6.9559813000311874E-2</v>
      </c>
      <c r="Z2" s="59">
        <f>1/(1/Z5)</f>
        <v>0.30169353781869912</v>
      </c>
      <c r="AA2" s="59">
        <f>1/(SUM((1/AA3),(1/AA4),(1/AA5),(1/AA6),(1/AA7),(1/AA8)))</f>
        <v>315.4659740869547</v>
      </c>
      <c r="AB2" s="59">
        <f>1/(SUM((1/AB3),(1/AB4),(1/AB5),(1/AB6),(1/AB7),(1/AB8)))</f>
        <v>0.30140529111045877</v>
      </c>
    </row>
    <row r="3" spans="1:28" x14ac:dyDescent="0.25">
      <c r="A3" s="57" t="str">
        <f>isospec!A2</f>
        <v>Rn-219</v>
      </c>
      <c r="B3" s="60">
        <f t="shared" ref="B3:B8" si="0">J3</f>
        <v>168.3897350309021</v>
      </c>
      <c r="C3" s="60">
        <f t="shared" ref="C3:C8" si="1">B3/1000</f>
        <v>0.1683897350309021</v>
      </c>
      <c r="D3" s="60">
        <f>(H3/1000)*Aeq_Feq!E2</f>
        <v>0</v>
      </c>
      <c r="E3" s="60"/>
      <c r="F3" s="60"/>
      <c r="G3" s="60"/>
      <c r="H3" s="60">
        <f>IFERROR((TR)/(isospec!B2*IFAres_adj)/Aeq_Feq!B2,0)</f>
        <v>0</v>
      </c>
      <c r="I3" s="60">
        <f>IFERROR((TR)/(isospec!C2*EFres*(1/365)*EDres*ETres*(1/24)*GSFa)/Aeq_Feq!B2,0)</f>
        <v>168.3897350309021</v>
      </c>
      <c r="J3" s="60">
        <f t="shared" ref="J3:J8" si="2">IFERROR(IF(AND(H3&lt;&gt;0,I3&lt;&gt;0),1/((1/H3)+(1/I3)),IF(AND(H3&lt;&gt;0,I3=0),1/(1/H3),IF(AND(H3=0,I3&lt;&gt;0),1/(1/I3),IF(AND(H3=0,I3=0),0)))),0)</f>
        <v>168.3897350309021</v>
      </c>
      <c r="T3" s="60">
        <f t="shared" ref="T3:T8" si="3">AB3</f>
        <v>735.52636261498037</v>
      </c>
      <c r="U3" s="60">
        <f>T3/1000</f>
        <v>0.73552636261498039</v>
      </c>
      <c r="V3" s="60">
        <f>(Z3/1000)*Aeq_Feq!G2</f>
        <v>0</v>
      </c>
      <c r="W3" s="60"/>
      <c r="X3" s="60"/>
      <c r="Y3" s="60"/>
      <c r="Z3" s="60">
        <f>IFERROR((TR)/(isospec!B2*EFw*EDw*ETw*(1/24)*IRAw)/Aeq_Feq!C2,0)</f>
        <v>0</v>
      </c>
      <c r="AA3" s="60">
        <f>IFERROR((TR)/(isospec!C2*EFw*(1/365)*EDw*ETw*(1/24)*GSFa)/Aeq_Feq!C2,0)</f>
        <v>735.52636261498037</v>
      </c>
      <c r="AB3" s="60">
        <f t="shared" ref="AB3:AB8" si="4">IFERROR(IF(AND(Z3&lt;&gt;0,AA3&lt;&gt;0),1/((1/Z3)+(1/AA3)),IF(AND(Z3&lt;&gt;0,AA3=0),1/(1/Z3),IF(AND(Z3=0,AA3&lt;&gt;0),1/(1/AA3),IF(AND(Z3=0,AA3=0),0)))),0)</f>
        <v>735.52636261498037</v>
      </c>
    </row>
    <row r="4" spans="1:28" x14ac:dyDescent="0.25">
      <c r="A4" s="57" t="str">
        <f>isospec!A3</f>
        <v>Rn-219~Bi-211</v>
      </c>
      <c r="B4" s="60">
        <f t="shared" si="0"/>
        <v>244.43972705287652</v>
      </c>
      <c r="C4" s="60">
        <f t="shared" si="1"/>
        <v>0.24443972705287653</v>
      </c>
      <c r="D4" s="60">
        <f>(H4/1000)*Aeq_Feq!E3</f>
        <v>0</v>
      </c>
      <c r="E4" s="60"/>
      <c r="F4" s="60"/>
      <c r="G4" s="60"/>
      <c r="H4" s="60">
        <f>IFERROR((TR)/(isospec!B3*IFAres_adj)/Aeq_Feq!B3,0)</f>
        <v>0</v>
      </c>
      <c r="I4" s="60">
        <f>IFERROR((TR)/(isospec!C3*EFres*(1/365)*EDres*ETres*(1/24)*GSFa)/Aeq_Feq!B3,0)</f>
        <v>244.43972705287655</v>
      </c>
      <c r="J4" s="60">
        <f t="shared" si="2"/>
        <v>244.43972705287652</v>
      </c>
      <c r="T4" s="60">
        <f t="shared" si="3"/>
        <v>1434.498332429464</v>
      </c>
      <c r="U4" s="60">
        <f t="shared" ref="U4:U17" si="5">T4/1000</f>
        <v>1.434498332429464</v>
      </c>
      <c r="V4" s="60">
        <f>(Z4/1000)*Aeq_Feq!G3</f>
        <v>0</v>
      </c>
      <c r="W4" s="60"/>
      <c r="X4" s="60"/>
      <c r="Y4" s="60"/>
      <c r="Z4" s="60">
        <f>IFERROR((TR)/(isospec!B3*EFw*EDw*ETw*(1/24)*IRAw)/Aeq_Feq!C3,0)</f>
        <v>0</v>
      </c>
      <c r="AA4" s="60">
        <f>IFERROR((TR)/(isospec!C3*EFw*(1/365)*EDw*ETw*(1/24)*GSFa)/Aeq_Feq!C3,0)</f>
        <v>1434.498332429464</v>
      </c>
      <c r="AB4" s="60">
        <f t="shared" si="4"/>
        <v>1434.498332429464</v>
      </c>
    </row>
    <row r="5" spans="1:28" x14ac:dyDescent="0.25">
      <c r="A5" s="57" t="str">
        <f>isospec!A4</f>
        <v>Rn-219~Pb-211</v>
      </c>
      <c r="B5" s="60">
        <f t="shared" si="0"/>
        <v>0.17789556346359636</v>
      </c>
      <c r="C5" s="60">
        <f t="shared" si="1"/>
        <v>1.7789556346359636E-4</v>
      </c>
      <c r="D5" s="60">
        <f>(H5/1000)*Aeq_Feq!E4</f>
        <v>0</v>
      </c>
      <c r="E5" s="60"/>
      <c r="F5" s="60"/>
      <c r="G5" s="60"/>
      <c r="H5" s="60">
        <f>IFERROR((TR)/(isospec!B4*IFAres_adj)/Aeq_Feq!B4,0)</f>
        <v>0.17808618112595839</v>
      </c>
      <c r="I5" s="60">
        <f>IFERROR((TR)/(isospec!C4*EFres*(1/365)*EDres*ETres*(1/24)*GSFa)/Aeq_Feq!B4,0)</f>
        <v>166.20045143726378</v>
      </c>
      <c r="J5" s="60">
        <f t="shared" si="2"/>
        <v>0.17789556346359636</v>
      </c>
      <c r="T5" s="60">
        <f t="shared" si="3"/>
        <v>0.30159824502368671</v>
      </c>
      <c r="U5" s="60">
        <f t="shared" si="5"/>
        <v>3.0159824502368671E-4</v>
      </c>
      <c r="V5" s="60">
        <f>(Z5/1000)*Aeq_Feq!G4</f>
        <v>0</v>
      </c>
      <c r="W5" s="60"/>
      <c r="X5" s="60"/>
      <c r="Y5" s="60"/>
      <c r="Z5" s="60">
        <f>IFERROR((TR)/(isospec!B4*EFw*EDw*ETw*(1/24)*IRAw)/Aeq_Feq!C4,0)</f>
        <v>0.30169353781869912</v>
      </c>
      <c r="AA5" s="60">
        <f>IFERROR((TR)/(isospec!C4*EFw*(1/365)*EDw*ETw*(1/24)*GSFa)/Aeq_Feq!C4,0)</f>
        <v>954.84912085181293</v>
      </c>
      <c r="AB5" s="60">
        <f t="shared" si="4"/>
        <v>0.30159824502368671</v>
      </c>
    </row>
    <row r="6" spans="1:28" x14ac:dyDescent="0.25">
      <c r="A6" s="57" t="str">
        <f>isospec!A5</f>
        <v>Rn-219~Po-211</v>
      </c>
      <c r="B6" s="60">
        <f t="shared" si="0"/>
        <v>477104.24925422261</v>
      </c>
      <c r="C6" s="60">
        <f t="shared" si="1"/>
        <v>477.10424925422262</v>
      </c>
      <c r="D6" s="60">
        <f>(H6/1000)*Aeq_Feq!E5</f>
        <v>0</v>
      </c>
      <c r="E6" s="60"/>
      <c r="F6" s="60"/>
      <c r="G6" s="60"/>
      <c r="H6" s="60">
        <f>IFERROR((TR)/(isospec!B5*IFAres_adj)/Aeq_Feq!B5,0)</f>
        <v>0</v>
      </c>
      <c r="I6" s="60">
        <f>IFERROR((TR)/(isospec!C5*EFres*(1/365)*EDres*ETres*(1/24)*GSFa)/Aeq_Feq!B5,0)</f>
        <v>477104.24925422267</v>
      </c>
      <c r="J6" s="60">
        <f t="shared" si="2"/>
        <v>477104.24925422261</v>
      </c>
      <c r="T6" s="60">
        <f t="shared" si="3"/>
        <v>2778655.1476565925</v>
      </c>
      <c r="U6" s="60">
        <f t="shared" si="5"/>
        <v>2778.6551476565924</v>
      </c>
      <c r="V6" s="60">
        <f>(Z6/1000)*Aeq_Feq!G5</f>
        <v>0</v>
      </c>
      <c r="W6" s="60"/>
      <c r="X6" s="60"/>
      <c r="Y6" s="60"/>
      <c r="Z6" s="60">
        <f>IFERROR((TR)/(isospec!B5*EFw*EDw*ETw*(1/24)*IRAw)/Aeq_Feq!C5,0)</f>
        <v>0</v>
      </c>
      <c r="AA6" s="60">
        <f>IFERROR((TR)/(isospec!C5*EFw*(1/365)*EDw*ETw*(1/24)*GSFa)/Aeq_Feq!C5,0)</f>
        <v>2778655.1476565925</v>
      </c>
      <c r="AB6" s="60">
        <f t="shared" si="4"/>
        <v>2778655.1476565925</v>
      </c>
    </row>
    <row r="7" spans="1:28" x14ac:dyDescent="0.25">
      <c r="A7" s="57" t="str">
        <f>isospec!A6</f>
        <v>Rn-219~Po-215</v>
      </c>
      <c r="B7" s="60">
        <f t="shared" si="0"/>
        <v>55050.490298564138</v>
      </c>
      <c r="C7" s="60">
        <f t="shared" si="1"/>
        <v>55.050490298564135</v>
      </c>
      <c r="D7" s="60">
        <f>(H7/1000)*Aeq_Feq!E6</f>
        <v>0</v>
      </c>
      <c r="E7" s="60"/>
      <c r="F7" s="60"/>
      <c r="G7" s="60"/>
      <c r="H7" s="60">
        <f>IFERROR((TR)/(isospec!B6*IFAres_adj)/Aeq_Feq!B6,0)</f>
        <v>0</v>
      </c>
      <c r="I7" s="60">
        <f>IFERROR((TR)/(isospec!C6*EFres*(1/365)*EDres*ETres*(1/24)*GSFa)/Aeq_Feq!B6,0)</f>
        <v>55050.490298564138</v>
      </c>
      <c r="J7" s="60">
        <f t="shared" si="2"/>
        <v>55050.490298564138</v>
      </c>
      <c r="T7" s="60">
        <f t="shared" si="3"/>
        <v>241766.078447746</v>
      </c>
      <c r="U7" s="60">
        <f t="shared" si="5"/>
        <v>241.766078447746</v>
      </c>
      <c r="V7" s="60">
        <f>(Z7/1000)*Aeq_Feq!G6</f>
        <v>0</v>
      </c>
      <c r="W7" s="60"/>
      <c r="X7" s="60"/>
      <c r="Y7" s="60"/>
      <c r="Z7" s="60">
        <f>IFERROR((TR)/(isospec!B6*EFw*EDw*ETw*(1/24)*IRAw)/Aeq_Feq!C6,0)</f>
        <v>0</v>
      </c>
      <c r="AA7" s="60">
        <f>IFERROR((TR)/(isospec!C6*EFw*(1/365)*EDw*ETw*(1/24)*GSFa)/Aeq_Feq!C6,0)</f>
        <v>241766.078447746</v>
      </c>
      <c r="AB7" s="60">
        <f t="shared" si="4"/>
        <v>241766.078447746</v>
      </c>
    </row>
    <row r="8" spans="1:28" x14ac:dyDescent="0.25">
      <c r="A8" s="57" t="str">
        <f>isospec!A7</f>
        <v>Rn-219~Tl-207</v>
      </c>
      <c r="B8" s="60">
        <f t="shared" si="0"/>
        <v>2647.5047068261038</v>
      </c>
      <c r="C8" s="60">
        <f t="shared" si="1"/>
        <v>2.6475047068261039</v>
      </c>
      <c r="D8" s="60">
        <f>(H8/1000)*Aeq_Feq!E7</f>
        <v>0</v>
      </c>
      <c r="E8" s="60"/>
      <c r="F8" s="60"/>
      <c r="G8" s="60"/>
      <c r="H8" s="60">
        <f>IFERROR((TR)/(isospec!B7*IFAres_adj)/Aeq_Feq!B7,0)</f>
        <v>0</v>
      </c>
      <c r="I8" s="60">
        <f>IFERROR((TR)/(isospec!C7*EFres*(1/365)*EDres*ETres*(1/24)*GSFa)/Aeq_Feq!B7,0)</f>
        <v>2647.5047068261038</v>
      </c>
      <c r="J8" s="60">
        <f t="shared" si="2"/>
        <v>2647.5047068261038</v>
      </c>
      <c r="T8" s="60">
        <f t="shared" si="3"/>
        <v>16272.442424420047</v>
      </c>
      <c r="U8" s="60">
        <f t="shared" si="5"/>
        <v>16.272442424420046</v>
      </c>
      <c r="V8" s="60">
        <f>(Z8/1000)*Aeq_Feq!G7</f>
        <v>0</v>
      </c>
      <c r="W8" s="60"/>
      <c r="X8" s="60"/>
      <c r="Y8" s="60"/>
      <c r="Z8" s="60">
        <f>IFERROR((TR)/(isospec!B7*EFw*EDw*ETw*(1/24)*IRAw)/Aeq_Feq!C7,0)</f>
        <v>0</v>
      </c>
      <c r="AA8" s="60">
        <f>IFERROR((TR)/(isospec!C7*EFw*(1/365)*EDw*ETw*(1/24)*GSFa)/Aeq_Feq!C7,0)</f>
        <v>16272.442424420047</v>
      </c>
      <c r="AB8" s="60">
        <f t="shared" si="4"/>
        <v>16272.442424420047</v>
      </c>
    </row>
    <row r="9" spans="1:28" x14ac:dyDescent="0.25">
      <c r="A9" s="57" t="str">
        <f>isospec!A8</f>
        <v>Rn-220</v>
      </c>
      <c r="B9" s="59">
        <f>1/(SUM((1/B10),(1/B11),(1/B12),(1/B14),(1/B15)))</f>
        <v>3.230028201443394E-2</v>
      </c>
      <c r="C9" s="59">
        <f>1/(SUM((1/C10),(1/C11),(1/C12),(1/C14),(1/C15)))</f>
        <v>3.230028201443394E-5</v>
      </c>
      <c r="D9" s="59">
        <f>IFERROR(1/(1/D10),0)</f>
        <v>1.5166519254658384E-4</v>
      </c>
      <c r="E9" s="59">
        <f>B9/AFss</f>
        <v>1.076676067147798</v>
      </c>
      <c r="F9" s="59">
        <f>(B9/AFss)/1000</f>
        <v>1.0766760671477979E-3</v>
      </c>
      <c r="G9" s="59">
        <f>IFERROR(B9/(AFgw*1000*isospec!M8),0)</f>
        <v>7.4544198229020324E-3</v>
      </c>
      <c r="H9" s="59">
        <f>1/(SUM((1/H10),(1/H11),(1/H12)))</f>
        <v>3.2337584618687375E-2</v>
      </c>
      <c r="I9" s="59">
        <f>1/(SUM((1/I10),(1/I11),(1/I12),(1/I14),(1/I15)))</f>
        <v>28.001077237201471</v>
      </c>
      <c r="J9" s="59">
        <f>1/(SUM((1/J10),(1/J11),(1/J12),(1/J14),(1/J15)))</f>
        <v>3.230028201443394E-2</v>
      </c>
      <c r="T9" s="59">
        <f>1/(SUM((1/T10),(1/T11),(1/T12),(1/T14),(1/T15)))</f>
        <v>0.1165233520408912</v>
      </c>
      <c r="U9" s="59">
        <f>1/(SUM((1/U10),(1/U11),(1/U12),(1/U14),(1/U15)))</f>
        <v>1.1652335204089117E-4</v>
      </c>
      <c r="V9" s="59">
        <f>1/(1/V10)</f>
        <v>4.8484777739130434E-5</v>
      </c>
      <c r="W9" s="59">
        <f>T9/AFss</f>
        <v>3.8841117346963734</v>
      </c>
      <c r="X9" s="59">
        <f>(T9/AFss)/1000</f>
        <v>3.8841117346963732E-3</v>
      </c>
      <c r="Y9" s="59">
        <f>IFERROR(T9/(AFgw*1000*isospec!M8),0)</f>
        <v>2.6891839052564811E-2</v>
      </c>
      <c r="Z9" s="59">
        <f>1/(SUM((1/Z10),(1/Z11),(1/Z12)))</f>
        <v>0.11655181456606306</v>
      </c>
      <c r="AA9" s="59">
        <f>1/(SUM((1/AA10),(1/AA11),(1/AA12),(1/AA14),(1/AA15)))</f>
        <v>477.1540134853808</v>
      </c>
      <c r="AB9" s="59">
        <f>1/(SUM((1/AB10),(1/AB11),(1/AB12),(1/AB14),(1/AB15)))</f>
        <v>0.1165233520408912</v>
      </c>
    </row>
    <row r="10" spans="1:28" x14ac:dyDescent="0.25">
      <c r="A10" s="57" t="str">
        <f>isospec!A8</f>
        <v>Rn-220</v>
      </c>
      <c r="B10" s="60">
        <f t="shared" ref="B10:B15" si="6">J10</f>
        <v>5.3991161847441473</v>
      </c>
      <c r="C10" s="60">
        <f t="shared" ref="C10:C15" si="7">B10/1000</f>
        <v>5.3991161847441477E-3</v>
      </c>
      <c r="D10" s="60">
        <f>(H10/1000)*Aeq_Feq!E8</f>
        <v>1.5166519254658384E-4</v>
      </c>
      <c r="E10" s="60"/>
      <c r="F10" s="60"/>
      <c r="G10" s="60"/>
      <c r="H10" s="60">
        <f>IFERROR((TR)/(isospec!B8*IFAres_adj)/Aeq_Feq!B8,0)</f>
        <v>5.4010261949770459</v>
      </c>
      <c r="I10" s="60">
        <f>IFERROR((TR)/(isospec!C8*EFres*(1/365)*EDres*ETres*(1/24)*GSFa)/Aeq_Feq!B8,0)</f>
        <v>15267.335976135124</v>
      </c>
      <c r="J10" s="60">
        <f t="shared" ref="J10:J15" si="8">IFERROR(IF(AND(H10&lt;&gt;0,I10&lt;&gt;0),1/((1/H10)+(1/I10)),IF(AND(H10&lt;&gt;0,I10=0),1/(1/H10),IF(AND(H10=0,I10&lt;&gt;0),1/(1/I10),IF(AND(H10=0,I10=0),0)))),0)</f>
        <v>5.3991161847441473</v>
      </c>
      <c r="T10" s="60">
        <f t="shared" ref="T10:T15" si="9">AB10</f>
        <v>6.9557961461047313</v>
      </c>
      <c r="U10" s="60">
        <f t="shared" si="5"/>
        <v>6.9557961461047309E-3</v>
      </c>
      <c r="V10" s="60">
        <f>(Z10/1000)*Aeq_Feq!G8</f>
        <v>4.8484777739130434E-5</v>
      </c>
      <c r="W10" s="60"/>
      <c r="X10" s="60"/>
      <c r="Y10" s="60"/>
      <c r="Z10" s="60">
        <f>IFERROR((TR)/(isospec!B8*EFw*EDw*ETw*(1/24)*IRAw)/Aeq_Feq!C8,0)</f>
        <v>6.9565217391304346</v>
      </c>
      <c r="AA10" s="60">
        <f>IFERROR((TR)/(isospec!C8*EFw*(1/365)*EDw*ETw*(1/24)*GSFa)/Aeq_Feq!C8,0)</f>
        <v>66687.723543758228</v>
      </c>
      <c r="AB10" s="60">
        <f t="shared" ref="AB10:AB15" si="10">IFERROR(IF(AND(Z10&lt;&gt;0,AA10&lt;&gt;0),1/((1/Z10)+(1/AA10)),IF(AND(Z10&lt;&gt;0,AA10=0),1/(1/Z10),IF(AND(Z10=0,AA10&lt;&gt;0),1/(1/AA10),IF(AND(Z10=0,AA10=0),0)))),0)</f>
        <v>6.9557961461047313</v>
      </c>
    </row>
    <row r="11" spans="1:28" x14ac:dyDescent="0.25">
      <c r="A11" s="57" t="str">
        <f>isospec!A9</f>
        <v>Rn-220~Bi-212</v>
      </c>
      <c r="B11" s="60">
        <f t="shared" si="6"/>
        <v>0.26083322271952813</v>
      </c>
      <c r="C11" s="60">
        <f t="shared" si="7"/>
        <v>2.6083322271952812E-4</v>
      </c>
      <c r="D11" s="60">
        <f>(H11/1000)*Aeq_Feq!E9</f>
        <v>0</v>
      </c>
      <c r="E11" s="60"/>
      <c r="F11" s="60"/>
      <c r="G11" s="60"/>
      <c r="H11" s="60">
        <f>IFERROR((TR)/(isospec!B9*IFAres_adj)/Aeq_Feq!B9,0)</f>
        <v>0.26099808067231434</v>
      </c>
      <c r="I11" s="60">
        <f>IFERROR((TR)/(isospec!C9*EFres*(1/365)*EDres*ETres*(1/24)*GSFa)/Aeq_Feq!B9,0)</f>
        <v>412.94319961417079</v>
      </c>
      <c r="J11" s="60">
        <f t="shared" si="8"/>
        <v>0.26083322271952813</v>
      </c>
      <c r="T11" s="60">
        <f t="shared" si="9"/>
        <v>1.3534085692355395</v>
      </c>
      <c r="U11" s="60">
        <f t="shared" si="5"/>
        <v>1.3534085692355395E-3</v>
      </c>
      <c r="V11" s="60">
        <f>(Z11/1000)*Aeq_Feq!G9</f>
        <v>0</v>
      </c>
      <c r="W11" s="60"/>
      <c r="X11" s="60"/>
      <c r="Y11" s="60"/>
      <c r="Z11" s="60">
        <f>IFERROR((TR)/(isospec!B9*EFw*EDw*ETw*(1/24)*IRAw)/Aeq_Feq!C9,0)</f>
        <v>1.3536608064434257</v>
      </c>
      <c r="AA11" s="60">
        <f>IFERROR((TR)/(isospec!C9*EFw*(1/365)*EDw*ETw*(1/24)*GSFa)/Aeq_Feq!C9,0)</f>
        <v>7263.227144926107</v>
      </c>
      <c r="AB11" s="60">
        <f t="shared" si="10"/>
        <v>1.3534085692355395</v>
      </c>
    </row>
    <row r="12" spans="1:28" x14ac:dyDescent="0.25">
      <c r="A12" s="57" t="str">
        <f>isospec!A10</f>
        <v>Rn-220~Pb-212</v>
      </c>
      <c r="B12" s="60">
        <f t="shared" si="6"/>
        <v>3.7159715334782961E-2</v>
      </c>
      <c r="C12" s="60">
        <f t="shared" si="7"/>
        <v>3.7159715334782959E-5</v>
      </c>
      <c r="D12" s="60">
        <f>(H12/1000)*Aeq_Feq!E10</f>
        <v>0</v>
      </c>
      <c r="E12" s="60"/>
      <c r="F12" s="60"/>
      <c r="G12" s="60"/>
      <c r="H12" s="60">
        <f>IFERROR((TR)/(isospec!B10*IFAres_adj)/Aeq_Feq!B10,0)</f>
        <v>3.7164810619478933E-2</v>
      </c>
      <c r="I12" s="60">
        <f>IFERROR((TR)/(isospec!C10*EFres*(1/365)*EDres*ETres*(1/24)*GSFa)/Aeq_Feq!B10,0)</f>
        <v>271.04153457465731</v>
      </c>
      <c r="J12" s="60">
        <f t="shared" si="8"/>
        <v>3.7159715334782961E-2</v>
      </c>
      <c r="T12" s="60">
        <f t="shared" si="9"/>
        <v>0.12990895537666164</v>
      </c>
      <c r="U12" s="60">
        <f t="shared" si="5"/>
        <v>1.2990895537666163E-4</v>
      </c>
      <c r="V12" s="60">
        <f>(Z12/1000)*Aeq_Feq!G10</f>
        <v>0</v>
      </c>
      <c r="W12" s="60"/>
      <c r="X12" s="60"/>
      <c r="Y12" s="60"/>
      <c r="Z12" s="60">
        <f>IFERROR((TR)/(isospec!B10*EFw*EDw*ETw*(1/24)*IRAw)/Aeq_Feq!C10,0)</f>
        <v>0.12991420790495478</v>
      </c>
      <c r="AA12" s="60">
        <f>IFERROR((TR)/(isospec!C10*EFw*(1/365)*EDw*ETw*(1/24)*GSFa)/Aeq_Feq!C10,0)</f>
        <v>3213.122918253041</v>
      </c>
      <c r="AB12" s="60">
        <f t="shared" si="10"/>
        <v>0.12990895537666164</v>
      </c>
    </row>
    <row r="13" spans="1:28" x14ac:dyDescent="0.25">
      <c r="A13" s="57" t="str">
        <f>isospec!A11</f>
        <v>Rn-220~Po-212</v>
      </c>
      <c r="B13" s="60">
        <f t="shared" si="6"/>
        <v>0</v>
      </c>
      <c r="C13" s="60">
        <f t="shared" si="7"/>
        <v>0</v>
      </c>
      <c r="D13" s="60">
        <f>(H13/1000)*Aeq_Feq!E11</f>
        <v>0</v>
      </c>
      <c r="E13" s="60"/>
      <c r="F13" s="60"/>
      <c r="G13" s="60"/>
      <c r="H13" s="60">
        <f>IFERROR((TR)/(isospec!B11*IFAres_adj)/Aeq_Feq!B11,0)</f>
        <v>0</v>
      </c>
      <c r="I13" s="60">
        <f>IFERROR((TR)/(isospec!C11*EFres*(1/365)*EDres*ETres*(1/24)*GSFa)/Aeq_Feq!B11,0)</f>
        <v>0</v>
      </c>
      <c r="J13" s="60">
        <f t="shared" si="8"/>
        <v>0</v>
      </c>
      <c r="T13" s="60">
        <f t="shared" si="9"/>
        <v>0</v>
      </c>
      <c r="U13" s="60">
        <f t="shared" si="5"/>
        <v>0</v>
      </c>
      <c r="V13" s="60">
        <f>(Z13/1000)*Aeq_Feq!G11</f>
        <v>0</v>
      </c>
      <c r="W13" s="60"/>
      <c r="X13" s="60"/>
      <c r="Y13" s="60"/>
      <c r="Z13" s="60">
        <f>IFERROR((TR)/(isospec!B11*EFw*EDw*ETw*(1/24)*IRAw)/Aeq_Feq!C11,0)</f>
        <v>0</v>
      </c>
      <c r="AA13" s="60">
        <f>IFERROR((TR)/(isospec!C11*EFw*(1/365)*EDw*ETw*(1/24)*GSFa)/Aeq_Feq!C11,0)</f>
        <v>0</v>
      </c>
      <c r="AB13" s="60">
        <f t="shared" si="10"/>
        <v>0</v>
      </c>
    </row>
    <row r="14" spans="1:28" x14ac:dyDescent="0.25">
      <c r="A14" s="57" t="str">
        <f>isospec!A12</f>
        <v>Rn-220~Po-216</v>
      </c>
      <c r="B14" s="60">
        <f t="shared" si="6"/>
        <v>609069.25436709274</v>
      </c>
      <c r="C14" s="60">
        <f t="shared" si="7"/>
        <v>609.06925436709275</v>
      </c>
      <c r="D14" s="60">
        <f>(H14/1000)*Aeq_Feq!E12</f>
        <v>0</v>
      </c>
      <c r="E14" s="60"/>
      <c r="F14" s="60"/>
      <c r="G14" s="60"/>
      <c r="H14" s="60">
        <f>IFERROR((TR)/(isospec!B12*IFAres_adj)/Aeq_Feq!B12,0)</f>
        <v>0</v>
      </c>
      <c r="I14" s="60">
        <f>IFERROR((TR)/(isospec!C12*EFres*(1/365)*EDres*ETres*(1/24)*GSFa)/Aeq_Feq!B12,0)</f>
        <v>609069.25436709274</v>
      </c>
      <c r="J14" s="60">
        <f t="shared" si="8"/>
        <v>609069.25436709274</v>
      </c>
      <c r="T14" s="60">
        <f t="shared" si="9"/>
        <v>2660414.5030754614</v>
      </c>
      <c r="U14" s="60">
        <f t="shared" si="5"/>
        <v>2660.4145030754612</v>
      </c>
      <c r="V14" s="60">
        <f>(Z14/1000)*Aeq_Feq!G12</f>
        <v>0</v>
      </c>
      <c r="W14" s="60"/>
      <c r="X14" s="60"/>
      <c r="Y14" s="60"/>
      <c r="Z14" s="60">
        <f>IFERROR((TR)/(isospec!B12*EFw*EDw*ETw*(1/24)*IRAw)/Aeq_Feq!C12,0)</f>
        <v>0</v>
      </c>
      <c r="AA14" s="60">
        <f>IFERROR((TR)/(isospec!C12*EFw*(1/365)*EDw*ETw*(1/24)*GSFa)/Aeq_Feq!C12,0)</f>
        <v>2660414.5030754614</v>
      </c>
      <c r="AB14" s="60">
        <f t="shared" si="10"/>
        <v>2660414.5030754614</v>
      </c>
    </row>
    <row r="15" spans="1:28" x14ac:dyDescent="0.25">
      <c r="A15" s="57" t="str">
        <f>isospec!A13</f>
        <v>Rn-220~Tl-208</v>
      </c>
      <c r="B15" s="60">
        <f t="shared" si="6"/>
        <v>33.85852581050311</v>
      </c>
      <c r="C15" s="60">
        <f t="shared" si="7"/>
        <v>3.3858525810503109E-2</v>
      </c>
      <c r="D15" s="60">
        <f>(H15/1000)*Aeq_Feq!E13</f>
        <v>0</v>
      </c>
      <c r="E15" s="60"/>
      <c r="F15" s="60"/>
      <c r="G15" s="60"/>
      <c r="H15" s="60">
        <f>IFERROR((TR)/(isospec!B13*IFAres_adj)/Aeq_Feq!B13,0)</f>
        <v>0</v>
      </c>
      <c r="I15" s="60">
        <f>IFERROR((TR)/(isospec!C13*EFres*(1/365)*EDres*ETres*(1/24)*GSFa)/Aeq_Feq!B13,0)</f>
        <v>33.85852581050311</v>
      </c>
      <c r="J15" s="60">
        <f t="shared" si="8"/>
        <v>33.85852581050311</v>
      </c>
      <c r="T15" s="60">
        <f t="shared" si="9"/>
        <v>612.93863551248376</v>
      </c>
      <c r="U15" s="60">
        <f t="shared" si="5"/>
        <v>0.61293863551248373</v>
      </c>
      <c r="V15" s="60">
        <f>(Z15/1000)*Aeq_Feq!G13</f>
        <v>0</v>
      </c>
      <c r="W15" s="60"/>
      <c r="X15" s="60"/>
      <c r="Y15" s="60"/>
      <c r="Z15" s="60">
        <f>IFERROR((TR)/(isospec!B13*EFw*EDw*ETw*(1/24)*IRAw)/Aeq_Feq!C13,0)</f>
        <v>0</v>
      </c>
      <c r="AA15" s="60">
        <f>IFERROR((TR)/(isospec!C13*EFw*(1/365)*EDw*ETw*(1/24)*GSFa)/Aeq_Feq!C13,0)</f>
        <v>612.93863551248376</v>
      </c>
      <c r="AB15" s="60">
        <f t="shared" si="10"/>
        <v>612.93863551248376</v>
      </c>
    </row>
    <row r="16" spans="1:28" x14ac:dyDescent="0.25">
      <c r="A16" s="57" t="str">
        <f>isospec!A14</f>
        <v>Rn-222</v>
      </c>
      <c r="B16" s="59">
        <f>1/(SUM((1/B17),(1/B18),(1/B20),(1/B23),(1/B25),(1/B26),(1/B27),(1/B29)))</f>
        <v>4.5678894611953756E-2</v>
      </c>
      <c r="C16" s="59">
        <f>1/(SUM((1/C17),(1/C18),(1/C20),(1/C23),(1/C25),(1/C26),(1/C27),(1/C29)))</f>
        <v>4.5678894611953756E-5</v>
      </c>
      <c r="D16" s="59">
        <f>IFERROR(1/(1/D17),0)</f>
        <v>2.424213996948894E-5</v>
      </c>
      <c r="E16" s="59">
        <f>B16/AFss</f>
        <v>1.5226298203984585</v>
      </c>
      <c r="F16" s="59">
        <f>(B16/AFss)/1000</f>
        <v>1.5226298203984585E-3</v>
      </c>
      <c r="G16" s="59">
        <f>IFERROR(B16/(AFgw*1000*isospec!M14),0)</f>
        <v>1.0542002615687327E-2</v>
      </c>
      <c r="H16" s="59">
        <f>1/(SUM((1/H17),(1/H20),(1/H23),(1/H26)))</f>
        <v>4.6011706859802097E-2</v>
      </c>
      <c r="I16" s="59">
        <f>1/(SUM((1/I17),(1/I18),(1/I20),(1/I23),(1/I25),(1/I26),(1/I27),(1/I29)))</f>
        <v>6.3151639464989122</v>
      </c>
      <c r="J16" s="59">
        <f>1/(SUM((1/J17),(1/J18),(1/J20),(1/J23),(1/J25),(1/J26),(1/J27),(1/J29)))</f>
        <v>4.5678894611953756E-2</v>
      </c>
      <c r="T16" s="59">
        <f>1/(SUM((1/T17),(1/T18),(1/T20),(1/T23),(1/T25),(1/T26),(1/T27),(1/T29)))</f>
        <v>7.803650806958741E-2</v>
      </c>
      <c r="U16" s="59">
        <f>1/(SUM((1/U17),(1/U18),(1/U20),(1/U23),(1/U25),(1/U26),(1/U27),(1/U29)))</f>
        <v>7.8036508069587415E-5</v>
      </c>
      <c r="V16" s="59">
        <f>1/(1/V17)</f>
        <v>2.5294601333333333E-5</v>
      </c>
      <c r="W16" s="59">
        <f>T16/AFss</f>
        <v>2.6012169356529138</v>
      </c>
      <c r="X16" s="59">
        <f>(T16/AFss)/1000</f>
        <v>2.6012169356529136E-3</v>
      </c>
      <c r="Y16" s="59">
        <f>IFERROR(T16/(AFgw*1000*isospec!M14),0)</f>
        <v>1.8009653674356047E-2</v>
      </c>
      <c r="Z16" s="59">
        <f>1/(SUM((1/Z17),(1/Z20),(1/Z23),(1/Z26)))</f>
        <v>7.8186006464028082E-2</v>
      </c>
      <c r="AA16" s="59">
        <f>1/(SUM((1/AA17),(1/AA18),(1/AA20),(1/AA23),(1/AA25),(1/AA26),(1/AA27),(1/AA29)))</f>
        <v>40.81223044024059</v>
      </c>
      <c r="AB16" s="59">
        <f>1/(SUM((1/AB17),(1/AB18),(1/AB20),(1/AB23),(1/AB25),(1/AB26),(1/AB27),(1/AB29)))</f>
        <v>7.803650806958741E-2</v>
      </c>
    </row>
    <row r="17" spans="1:37" x14ac:dyDescent="0.25">
      <c r="A17" s="23" t="s">
        <v>1</v>
      </c>
      <c r="B17" s="60">
        <f>J17</f>
        <v>2.7239015473335111</v>
      </c>
      <c r="C17" s="60">
        <f>B17/1000</f>
        <v>2.7239015473335109E-3</v>
      </c>
      <c r="D17" s="60">
        <f>(H17/1000)*Aeq_Feq!E14</f>
        <v>2.424213996948894E-5</v>
      </c>
      <c r="E17" s="60"/>
      <c r="F17" s="60"/>
      <c r="G17" s="60"/>
      <c r="H17" s="60">
        <f>IFERROR((TR)/(isospec!B14*IFAres_adj)/Aeq_Feq!B14,0)</f>
        <v>2.7242018088700011</v>
      </c>
      <c r="I17" s="60">
        <f>IFERROR((TR)/(isospec!C14*EFres*(1/365)*EDres*ETres*(1/24)*GSFa)/Aeq_Feq!B14,0)</f>
        <v>24713.31363043455</v>
      </c>
      <c r="J17" s="60">
        <f>IFERROR(IF(AND(H17&lt;&gt;0,I17&lt;&gt;0),1/((1/H17)+(1/I17)),IF(AND(H17&lt;&gt;0,I17=0),1/(1/H17),IF(AND(H17=0,I17&lt;&gt;0),1/(1/I17),IF(AND(H17=0,I17=0),0)))),0)</f>
        <v>2.7239015473335111</v>
      </c>
      <c r="T17" s="60">
        <f t="shared" ref="T17" si="11">AB17</f>
        <v>3.5086578831691866</v>
      </c>
      <c r="U17" s="60">
        <f t="shared" si="5"/>
        <v>3.5086578831691867E-3</v>
      </c>
      <c r="V17" s="60">
        <f>(Z17/1000)*Aeq_Feq!G14</f>
        <v>2.5294601333333333E-5</v>
      </c>
      <c r="W17" s="60"/>
      <c r="X17" s="60"/>
      <c r="Y17" s="60"/>
      <c r="Z17" s="60">
        <f>IFERROR((TR)/(isospec!B14*EFw*EDw*ETw*(1/24)*IRAw)/Aeq_Feq!C14,0)</f>
        <v>3.5087719298245617</v>
      </c>
      <c r="AA17" s="60">
        <f>IFERROR((TR)/(isospec!C14*EFw*(1/365)*EDw*ETw*(1/24)*GSFa)/Aeq_Feq!C14,0)</f>
        <v>107947.75393773813</v>
      </c>
      <c r="AB17" s="60">
        <f t="shared" ref="AB17" si="12">IFERROR(IF(AND(Z17&lt;&gt;0,AA17&lt;&gt;0),1/((1/Z17)+(1/AA17)),IF(AND(Z17&lt;&gt;0,AA17=0),1/(1/Z17),IF(AND(Z17=0,AA17&lt;&gt;0),1/(1/AA17),IF(AND(Z17=0,AA17=0),0)))),0)</f>
        <v>3.5086578831691866</v>
      </c>
    </row>
    <row r="18" spans="1:37" x14ac:dyDescent="0.25">
      <c r="A18" s="23" t="s">
        <v>108</v>
      </c>
      <c r="B18" s="60">
        <f t="shared" ref="B18:B29" si="13">J18</f>
        <v>6610503347.2691212</v>
      </c>
      <c r="C18" s="60">
        <f t="shared" ref="C18:C29" si="14">B18/1000</f>
        <v>6610503.3472691216</v>
      </c>
      <c r="D18" s="60">
        <f>(H18/1000)*Aeq_Feq!E15</f>
        <v>0</v>
      </c>
      <c r="E18" s="60"/>
      <c r="F18" s="60"/>
      <c r="G18" s="60"/>
      <c r="H18" s="60">
        <f>IFERROR((TR)/(isospec!B15*IFAres_adj)/Aeq_Feq!B15,0)</f>
        <v>0</v>
      </c>
      <c r="I18" s="60">
        <f>IFERROR((TR)/(isospec!C15*EFres*(1/365)*EDres*ETres*(1/24)*GSFa)/Aeq_Feq!B15,0)</f>
        <v>6610503347.2691212</v>
      </c>
      <c r="J18" s="60">
        <f t="shared" ref="J18:J29" si="15">IFERROR(IF(AND(H18&lt;&gt;0,I18&lt;&gt;0),1/((1/H18)+(1/I18)),IF(AND(H18&lt;&gt;0,I18=0),1/(1/H18),IF(AND(H18=0,I18&lt;&gt;0),1/(1/I18),IF(AND(H18=0,I18=0),0)))),0)</f>
        <v>6610503347.2691212</v>
      </c>
      <c r="T18" s="60">
        <f t="shared" ref="T18:T29" si="16">AB18</f>
        <v>29781736588.019306</v>
      </c>
      <c r="U18" s="60">
        <f t="shared" ref="U18:U29" si="17">T18/1000</f>
        <v>29781736.588019308</v>
      </c>
      <c r="V18" s="60">
        <f>(Z18/1000)*Aeq_Feq!G15</f>
        <v>0</v>
      </c>
      <c r="W18" s="60"/>
      <c r="X18" s="60"/>
      <c r="Y18" s="60"/>
      <c r="Z18" s="60">
        <f>IFERROR((TR)/(isospec!B15*EFw*EDw*ETw*(1/24)*IRAw)/Aeq_Feq!C15,0)</f>
        <v>0</v>
      </c>
      <c r="AA18" s="60">
        <f>IFERROR((TR)/(isospec!C15*EFw*(1/365)*EDw*ETw*(1/24)*GSFa)/Aeq_Feq!C15,0)</f>
        <v>29781736588.019306</v>
      </c>
      <c r="AB18" s="60">
        <f t="shared" ref="AB18:AB29" si="18">IFERROR(IF(AND(Z18&lt;&gt;0,AA18&lt;&gt;0),1/((1/Z18)+(1/AA18)),IF(AND(Z18&lt;&gt;0,AA18=0),1/(1/Z18),IF(AND(Z18=0,AA18&lt;&gt;0),1/(1/AA18),IF(AND(Z18=0,AA18=0),0)))),0)</f>
        <v>29781736588.019306</v>
      </c>
    </row>
    <row r="19" spans="1:37" x14ac:dyDescent="0.25">
      <c r="A19" s="23" t="s">
        <v>173</v>
      </c>
      <c r="B19" s="60">
        <f t="shared" si="13"/>
        <v>0</v>
      </c>
      <c r="C19" s="60">
        <f t="shared" si="14"/>
        <v>0</v>
      </c>
      <c r="D19" s="60">
        <f>(H19/1000)*Aeq_Feq!E16</f>
        <v>0</v>
      </c>
      <c r="E19" s="60"/>
      <c r="F19" s="60"/>
      <c r="G19" s="60"/>
      <c r="H19" s="60">
        <f>IFERROR((TR)/(isospec!B16*IFAres_adj)/Aeq_Feq!B16,0)</f>
        <v>0</v>
      </c>
      <c r="I19" s="60">
        <f>IFERROR((TR)/(isospec!C16*EFres*(1/365)*EDres*ETres*(1/24)*GSFa)/Aeq_Feq!B16,0)</f>
        <v>0</v>
      </c>
      <c r="J19" s="60">
        <f t="shared" si="15"/>
        <v>0</v>
      </c>
      <c r="T19" s="60">
        <f t="shared" si="16"/>
        <v>0</v>
      </c>
      <c r="U19" s="60">
        <f t="shared" si="17"/>
        <v>0</v>
      </c>
      <c r="V19" s="60">
        <f>(Z19/1000)*Aeq_Feq!G16</f>
        <v>0</v>
      </c>
      <c r="W19" s="60"/>
      <c r="X19" s="60"/>
      <c r="Y19" s="60"/>
      <c r="Z19" s="60">
        <f>IFERROR((TR)/(isospec!B16*EFw*EDw*ETw*(1/24)*IRAw)/Aeq_Feq!C16,0)</f>
        <v>0</v>
      </c>
      <c r="AA19" s="60">
        <f>IFERROR((TR)/(isospec!C16*EFw*(1/365)*EDw*ETw*(1/24)*GSFa)/Aeq_Feq!C16,0)</f>
        <v>0</v>
      </c>
      <c r="AB19" s="60">
        <f t="shared" si="18"/>
        <v>0</v>
      </c>
    </row>
    <row r="20" spans="1:37" x14ac:dyDescent="0.25">
      <c r="A20" s="23" t="s">
        <v>109</v>
      </c>
      <c r="B20" s="60">
        <f t="shared" si="13"/>
        <v>0.1214342987358752</v>
      </c>
      <c r="C20" s="60">
        <f t="shared" si="14"/>
        <v>1.2143429873587521E-4</v>
      </c>
      <c r="D20" s="60">
        <f>(H20/1000)*Aeq_Feq!E17</f>
        <v>0</v>
      </c>
      <c r="E20" s="60"/>
      <c r="F20" s="60"/>
      <c r="G20" s="60"/>
      <c r="H20" s="60">
        <f>IFERROR((TR)/(isospec!B17*IFAres_adj)/Aeq_Feq!B17,0)</f>
        <v>0.12346994195875581</v>
      </c>
      <c r="I20" s="60">
        <f>IFERROR((TR)/(isospec!C17*EFres*(1/365)*EDres*ETres*(1/24)*GSFa)/Aeq_Feq!B17,0)</f>
        <v>7.3654782174961557</v>
      </c>
      <c r="J20" s="60">
        <f t="shared" si="15"/>
        <v>0.1214342987358752</v>
      </c>
      <c r="T20" s="60">
        <f t="shared" si="16"/>
        <v>0.24032296773186795</v>
      </c>
      <c r="U20" s="60">
        <f t="shared" si="17"/>
        <v>2.4032296773186795E-4</v>
      </c>
      <c r="V20" s="60">
        <f>(Z20/1000)*Aeq_Feq!G17</f>
        <v>0</v>
      </c>
      <c r="W20" s="60"/>
      <c r="X20" s="60"/>
      <c r="Y20" s="60"/>
      <c r="Z20" s="60">
        <f>IFERROR((TR)/(isospec!B17*EFw*EDw*ETw*(1/24)*IRAw)/Aeq_Feq!C17,0)</f>
        <v>0.24151089214123553</v>
      </c>
      <c r="AA20" s="60">
        <f>IFERROR((TR)/(isospec!C17*EFw*(1/365)*EDw*ETw*(1/24)*GSFa)/Aeq_Feq!C17,0)</f>
        <v>48.85884478950539</v>
      </c>
      <c r="AB20" s="60">
        <f t="shared" si="18"/>
        <v>0.24032296773186795</v>
      </c>
    </row>
    <row r="21" spans="1:37" x14ac:dyDescent="0.25">
      <c r="A21" s="23" t="s">
        <v>174</v>
      </c>
      <c r="B21" s="60">
        <f t="shared" si="13"/>
        <v>0</v>
      </c>
      <c r="C21" s="60">
        <f t="shared" si="14"/>
        <v>0</v>
      </c>
      <c r="D21" s="60">
        <f>(H21/1000)*Aeq_Feq!E18</f>
        <v>0</v>
      </c>
      <c r="E21" s="60"/>
      <c r="F21" s="60"/>
      <c r="G21" s="60"/>
      <c r="H21" s="60">
        <f>IFERROR((TR)/(isospec!B18*IFAres_adj)/Aeq_Feq!B18,0)</f>
        <v>0</v>
      </c>
      <c r="I21" s="60">
        <f>IFERROR((TR)/(isospec!C18*EFres*(1/365)*EDres*ETres*(1/24)*GSFa)/Aeq_Feq!B18,0)</f>
        <v>0</v>
      </c>
      <c r="J21" s="60">
        <f t="shared" si="15"/>
        <v>0</v>
      </c>
      <c r="T21" s="60">
        <f t="shared" si="16"/>
        <v>0</v>
      </c>
      <c r="U21" s="60">
        <f t="shared" si="17"/>
        <v>0</v>
      </c>
      <c r="V21" s="60">
        <f>(Z21/1000)*Aeq_Feq!G18</f>
        <v>0</v>
      </c>
      <c r="W21" s="60"/>
      <c r="X21" s="60"/>
      <c r="Y21" s="60"/>
      <c r="Z21" s="60">
        <f>IFERROR((TR)/(isospec!B18*EFw*EDw*ETw*(1/24)*IRAw)/Aeq_Feq!C18,0)</f>
        <v>0</v>
      </c>
      <c r="AA21" s="60">
        <f>IFERROR((TR)/(isospec!C18*EFw*(1/365)*EDw*ETw*(1/24)*GSFa)/Aeq_Feq!C18,0)</f>
        <v>0</v>
      </c>
      <c r="AB21" s="60">
        <f t="shared" si="18"/>
        <v>0</v>
      </c>
    </row>
    <row r="22" spans="1:37" x14ac:dyDescent="0.25">
      <c r="A22" s="23" t="s">
        <v>175</v>
      </c>
      <c r="B22" s="60">
        <f t="shared" si="13"/>
        <v>0</v>
      </c>
      <c r="C22" s="60">
        <f t="shared" si="14"/>
        <v>0</v>
      </c>
      <c r="D22" s="60">
        <f>(H22/1000)*Aeq_Feq!E19</f>
        <v>0</v>
      </c>
      <c r="E22" s="60"/>
      <c r="F22" s="60"/>
      <c r="G22" s="60"/>
      <c r="H22" s="60">
        <f>IFERROR((TR)/(isospec!B19*IFAres_adj)/Aeq_Feq!B19,0)</f>
        <v>0</v>
      </c>
      <c r="I22" s="60">
        <f>IFERROR((TR)/(isospec!C19*EFres*(1/365)*EDres*ETres*(1/24)*GSFa)/Aeq_Feq!B19,0)</f>
        <v>0</v>
      </c>
      <c r="J22" s="60">
        <f t="shared" si="15"/>
        <v>0</v>
      </c>
      <c r="T22" s="60">
        <f t="shared" si="16"/>
        <v>0</v>
      </c>
      <c r="U22" s="60">
        <f t="shared" si="17"/>
        <v>0</v>
      </c>
      <c r="V22" s="60">
        <f>(Z22/1000)*Aeq_Feq!G19</f>
        <v>0</v>
      </c>
      <c r="W22" s="60"/>
      <c r="X22" s="60"/>
      <c r="Y22" s="60"/>
      <c r="Z22" s="60">
        <f>IFERROR((TR)/(isospec!B19*EFw*EDw*ETw*(1/24)*IRAw)/Aeq_Feq!C19,0)</f>
        <v>0</v>
      </c>
      <c r="AA22" s="60">
        <f>IFERROR((TR)/(isospec!C19*EFw*(1/365)*EDw*ETw*(1/24)*GSFa)/Aeq_Feq!C19,0)</f>
        <v>0</v>
      </c>
      <c r="AB22" s="60">
        <f t="shared" si="18"/>
        <v>0</v>
      </c>
    </row>
    <row r="23" spans="1:37" x14ac:dyDescent="0.25">
      <c r="A23" s="23" t="s">
        <v>107</v>
      </c>
      <c r="B23" s="60">
        <f t="shared" si="13"/>
        <v>9.0244114508170728E-2</v>
      </c>
      <c r="C23" s="60">
        <f t="shared" si="14"/>
        <v>9.0244114508170726E-5</v>
      </c>
      <c r="D23" s="60">
        <f>(H23/1000)*Aeq_Feq!E20</f>
        <v>0</v>
      </c>
      <c r="E23" s="60"/>
      <c r="F23" s="60"/>
      <c r="G23" s="60"/>
      <c r="H23" s="60">
        <f>IFERROR((TR)/(isospec!B20*IFAres_adj)/Aeq_Feq!B20,0)</f>
        <v>9.0427565765527032E-2</v>
      </c>
      <c r="I23" s="60">
        <f>IFERROR((TR)/(isospec!C20*EFres*(1/365)*EDres*ETres*(1/24)*GSFa)/Aeq_Feq!B20,0)</f>
        <v>44.483508683668383</v>
      </c>
      <c r="J23" s="60">
        <f t="shared" si="15"/>
        <v>9.0244114508170728E-2</v>
      </c>
      <c r="T23" s="60">
        <f t="shared" si="16"/>
        <v>0.14912814934264876</v>
      </c>
      <c r="U23" s="60">
        <f t="shared" si="17"/>
        <v>1.4912814934264876E-4</v>
      </c>
      <c r="V23" s="60">
        <f>(Z23/1000)*Aeq_Feq!G20</f>
        <v>0</v>
      </c>
      <c r="W23" s="60"/>
      <c r="X23" s="60"/>
      <c r="Y23" s="60"/>
      <c r="Z23" s="60">
        <f>IFERROR((TR)/(isospec!B20*EFw*EDw*ETw*(1/24)*IRAw)/Aeq_Feq!C20,0)</f>
        <v>0.14921754052188838</v>
      </c>
      <c r="AA23" s="60">
        <f>IFERROR((TR)/(isospec!C20*EFw*(1/365)*EDw*ETw*(1/24)*GSFa)/Aeq_Feq!C20,0)</f>
        <v>248.93435635123618</v>
      </c>
      <c r="AB23" s="60">
        <f t="shared" si="18"/>
        <v>0.14912814934264876</v>
      </c>
    </row>
    <row r="24" spans="1:37" x14ac:dyDescent="0.25">
      <c r="A24" s="23" t="s">
        <v>176</v>
      </c>
      <c r="B24" s="60">
        <f t="shared" si="13"/>
        <v>0</v>
      </c>
      <c r="C24" s="60">
        <f t="shared" si="14"/>
        <v>0</v>
      </c>
      <c r="D24" s="60">
        <f>(H24/1000)*Aeq_Feq!E21</f>
        <v>0</v>
      </c>
      <c r="E24" s="60"/>
      <c r="F24" s="60"/>
      <c r="G24" s="60"/>
      <c r="H24" s="60">
        <f>IFERROR((TR)/(isospec!B21*IFAres_adj)/Aeq_Feq!B21,0)</f>
        <v>0</v>
      </c>
      <c r="I24" s="60">
        <f>IFERROR((TR)/(isospec!C21*EFres*(1/365)*EDres*ETres*(1/24)*GSFa)/Aeq_Feq!B21,0)</f>
        <v>0</v>
      </c>
      <c r="J24" s="60">
        <f t="shared" si="15"/>
        <v>0</v>
      </c>
      <c r="T24" s="60">
        <f t="shared" si="16"/>
        <v>0</v>
      </c>
      <c r="U24" s="60">
        <f t="shared" si="17"/>
        <v>0</v>
      </c>
      <c r="V24" s="60">
        <f>(Z24/1000)*Aeq_Feq!G21</f>
        <v>0</v>
      </c>
      <c r="W24" s="60"/>
      <c r="X24" s="60"/>
      <c r="Y24" s="60"/>
      <c r="Z24" s="60">
        <f>IFERROR((TR)/(isospec!B21*EFw*EDw*ETw*(1/24)*IRAw)/Aeq_Feq!C21,0)</f>
        <v>0</v>
      </c>
      <c r="AA24" s="60">
        <f>IFERROR((TR)/(isospec!C21*EFw*(1/365)*EDw*ETw*(1/24)*GSFa)/Aeq_Feq!C21,0)</f>
        <v>0</v>
      </c>
      <c r="AB24" s="60">
        <f t="shared" si="18"/>
        <v>0</v>
      </c>
    </row>
    <row r="25" spans="1:37" x14ac:dyDescent="0.25">
      <c r="A25" s="23" t="s">
        <v>111</v>
      </c>
      <c r="B25" s="60">
        <f t="shared" si="13"/>
        <v>138025.34810938177</v>
      </c>
      <c r="C25" s="60">
        <f t="shared" si="14"/>
        <v>138.02534810938178</v>
      </c>
      <c r="D25" s="60">
        <f>(H25/1000)*Aeq_Feq!E22</f>
        <v>0</v>
      </c>
      <c r="E25" s="60"/>
      <c r="F25" s="60"/>
      <c r="G25" s="60"/>
      <c r="H25" s="60">
        <f>IFERROR((TR)/(isospec!B22*IFAres_adj)/Aeq_Feq!B22,0)</f>
        <v>0</v>
      </c>
      <c r="I25" s="60">
        <f>IFERROR((TR)/(isospec!C22*EFres*(1/365)*EDres*ETres*(1/24)*GSFa)/Aeq_Feq!B22,0)</f>
        <v>138025.34810938177</v>
      </c>
      <c r="J25" s="60">
        <f t="shared" si="15"/>
        <v>138025.34810938177</v>
      </c>
      <c r="T25" s="60">
        <f t="shared" si="16"/>
        <v>915590.11664367246</v>
      </c>
      <c r="U25" s="60">
        <f t="shared" si="17"/>
        <v>915.59011664367245</v>
      </c>
      <c r="V25" s="60">
        <f>(Z25/1000)*Aeq_Feq!G22</f>
        <v>0</v>
      </c>
      <c r="W25" s="60"/>
      <c r="X25" s="60"/>
      <c r="Y25" s="60"/>
      <c r="Z25" s="60">
        <f>IFERROR((TR)/(isospec!B22*EFw*EDw*ETw*(1/24)*IRAw)/Aeq_Feq!C22,0)</f>
        <v>0</v>
      </c>
      <c r="AA25" s="60">
        <f>IFERROR((TR)/(isospec!C22*EFw*(1/365)*EDw*ETw*(1/24)*GSFa)/Aeq_Feq!C22,0)</f>
        <v>915590.11664367246</v>
      </c>
      <c r="AB25" s="60">
        <f t="shared" si="18"/>
        <v>915590.11664367246</v>
      </c>
    </row>
    <row r="26" spans="1:37" x14ac:dyDescent="0.25">
      <c r="A26" s="23" t="s">
        <v>106</v>
      </c>
      <c r="B26" s="60">
        <f t="shared" si="13"/>
        <v>0.45273302001489524</v>
      </c>
      <c r="C26" s="60">
        <f t="shared" si="14"/>
        <v>4.5273302001489526E-4</v>
      </c>
      <c r="D26" s="60">
        <f>(H26/1000)*Aeq_Feq!E23</f>
        <v>0</v>
      </c>
      <c r="E26" s="60"/>
      <c r="F26" s="60"/>
      <c r="G26" s="60"/>
      <c r="H26" s="60">
        <f>IFERROR((TR)/(isospec!B23*IFAres_adj)/Aeq_Feq!B23,0)</f>
        <v>0.45273302021412182</v>
      </c>
      <c r="I26" s="60">
        <f>IFERROR((TR)/(isospec!C23*EFres*(1/365)*EDres*ETres*(1/24)*GSFa)/Aeq_Feq!B23,0)</f>
        <v>1028814848.9833688</v>
      </c>
      <c r="J26" s="60">
        <f t="shared" si="15"/>
        <v>0.45273302001489524</v>
      </c>
      <c r="T26" s="60">
        <f t="shared" si="16"/>
        <v>0.60139975785856026</v>
      </c>
      <c r="U26" s="60">
        <f t="shared" si="17"/>
        <v>6.0139975785856027E-4</v>
      </c>
      <c r="V26" s="60">
        <f>(Z26/1000)*Aeq_Feq!G23</f>
        <v>0</v>
      </c>
      <c r="W26" s="60"/>
      <c r="X26" s="60"/>
      <c r="Y26" s="60"/>
      <c r="Z26" s="60">
        <f>IFERROR((TR)/(isospec!B23*EFw*EDw*ETw*(1/24)*IRAw)/Aeq_Feq!C23,0)</f>
        <v>0.60139975793659739</v>
      </c>
      <c r="AA26" s="60">
        <f>IFERROR((TR)/(isospec!C23*EFw*(1/365)*EDw*ETw*(1/24)*GSFa)/Aeq_Feq!C23,0)</f>
        <v>4634736716.7969532</v>
      </c>
      <c r="AB26" s="60">
        <f t="shared" si="18"/>
        <v>0.60139975785856026</v>
      </c>
    </row>
    <row r="27" spans="1:37" x14ac:dyDescent="0.25">
      <c r="A27" s="23" t="s">
        <v>110</v>
      </c>
      <c r="B27" s="60">
        <f t="shared" si="13"/>
        <v>63825549559.839783</v>
      </c>
      <c r="C27" s="60">
        <f t="shared" si="14"/>
        <v>63825549.559839785</v>
      </c>
      <c r="D27" s="60">
        <f>(H27/1000)*Aeq_Feq!E24</f>
        <v>0</v>
      </c>
      <c r="E27" s="60"/>
      <c r="F27" s="60"/>
      <c r="G27" s="60"/>
      <c r="H27" s="60">
        <f>IFERROR((TR)/(isospec!B24*IFAres_adj)/Aeq_Feq!B24,0)</f>
        <v>0</v>
      </c>
      <c r="I27" s="60">
        <f>IFERROR((TR)/(isospec!C24*EFres*(1/365)*EDres*ETres*(1/24)*GSFa)/Aeq_Feq!B24,0)</f>
        <v>63825549559.839783</v>
      </c>
      <c r="J27" s="60">
        <f t="shared" si="15"/>
        <v>63825549559.839783</v>
      </c>
      <c r="T27" s="60">
        <f t="shared" si="16"/>
        <v>287547801539.49683</v>
      </c>
      <c r="U27" s="60">
        <f t="shared" si="17"/>
        <v>287547801.53949684</v>
      </c>
      <c r="V27" s="60">
        <f>(Z27/1000)*Aeq_Feq!G24</f>
        <v>0</v>
      </c>
      <c r="W27" s="60"/>
      <c r="X27" s="60"/>
      <c r="Y27" s="60"/>
      <c r="Z27" s="60">
        <f>IFERROR((TR)/(isospec!B24*EFw*EDw*ETw*(1/24)*IRAw)/Aeq_Feq!C24,0)</f>
        <v>0</v>
      </c>
      <c r="AA27" s="60">
        <f>IFERROR((TR)/(isospec!C24*EFw*(1/365)*EDw*ETw*(1/24)*GSFa)/Aeq_Feq!C24,0)</f>
        <v>287547801539.49683</v>
      </c>
      <c r="AB27" s="60">
        <f t="shared" si="18"/>
        <v>287547801539.49683</v>
      </c>
    </row>
    <row r="28" spans="1:37" x14ac:dyDescent="0.25">
      <c r="A28" s="23" t="s">
        <v>177</v>
      </c>
      <c r="B28" s="60">
        <f t="shared" si="13"/>
        <v>0</v>
      </c>
      <c r="C28" s="60">
        <f t="shared" si="14"/>
        <v>0</v>
      </c>
      <c r="D28" s="60">
        <f>(H28/1000)*Aeq_Feq!E25</f>
        <v>0</v>
      </c>
      <c r="E28" s="60"/>
      <c r="F28" s="60"/>
      <c r="G28" s="60"/>
      <c r="H28" s="60">
        <f>IFERROR((TR)/(isospec!B25*IFAres_adj)/Aeq_Feq!B25,0)</f>
        <v>0</v>
      </c>
      <c r="I28" s="60">
        <f>IFERROR((TR)/(isospec!C25*EFres*(1/365)*EDres*ETres*(1/24)*GSFa)/Aeq_Feq!B25,0)</f>
        <v>0</v>
      </c>
      <c r="J28" s="60">
        <f t="shared" si="15"/>
        <v>0</v>
      </c>
      <c r="T28" s="60">
        <f t="shared" si="16"/>
        <v>0</v>
      </c>
      <c r="U28" s="60">
        <f t="shared" si="17"/>
        <v>0</v>
      </c>
      <c r="V28" s="60">
        <f>(Z28/1000)*Aeq_Feq!G25</f>
        <v>0</v>
      </c>
      <c r="W28" s="60"/>
      <c r="X28" s="60"/>
      <c r="Y28" s="60"/>
      <c r="Z28" s="60">
        <f>IFERROR((TR)/(isospec!B25*EFw*EDw*ETw*(1/24)*IRAw)/Aeq_Feq!C25,0)</f>
        <v>0</v>
      </c>
      <c r="AA28" s="60">
        <f>IFERROR((TR)/(isospec!C25*EFw*(1/365)*EDw*ETw*(1/24)*GSFa)/Aeq_Feq!C25,0)</f>
        <v>0</v>
      </c>
      <c r="AB28" s="60">
        <f t="shared" si="18"/>
        <v>0</v>
      </c>
    </row>
    <row r="29" spans="1:37" x14ac:dyDescent="0.25">
      <c r="A29" s="23" t="s">
        <v>112</v>
      </c>
      <c r="B29" s="60">
        <f t="shared" si="13"/>
        <v>19027.462101465891</v>
      </c>
      <c r="C29" s="60">
        <f t="shared" si="14"/>
        <v>19.02746210146589</v>
      </c>
      <c r="D29" s="60">
        <f>(H29/1000)*Aeq_Feq!E26</f>
        <v>0</v>
      </c>
      <c r="E29" s="60"/>
      <c r="F29" s="60"/>
      <c r="G29" s="60"/>
      <c r="H29" s="60">
        <f>IFERROR((TR)/(isospec!B26*IFAres_adj)/Aeq_Feq!B26,0)</f>
        <v>0</v>
      </c>
      <c r="I29" s="60">
        <f>IFERROR((TR)/(isospec!C26*EFres*(1/365)*EDres*ETres*(1/24)*GSFa)/Aeq_Feq!B26,0)</f>
        <v>19027.462101465891</v>
      </c>
      <c r="J29" s="60">
        <f t="shared" si="15"/>
        <v>19027.462101465891</v>
      </c>
      <c r="T29" s="60">
        <f t="shared" si="16"/>
        <v>127288.57890148212</v>
      </c>
      <c r="U29" s="60">
        <f t="shared" si="17"/>
        <v>127.28857890148213</v>
      </c>
      <c r="V29" s="60">
        <f>(Z29/1000)*Aeq_Feq!G26</f>
        <v>0</v>
      </c>
      <c r="W29" s="60"/>
      <c r="X29" s="60"/>
      <c r="Y29" s="60"/>
      <c r="Z29" s="60">
        <f>IFERROR((TR)/(isospec!B26*EFw*EDw*ETw*(1/24)*IRAw)/Aeq_Feq!C26,0)</f>
        <v>0</v>
      </c>
      <c r="AA29" s="60">
        <f>IFERROR((TR)/(isospec!C26*EFw*(1/365)*EDw*ETw*(1/24)*GSFa)/Aeq_Feq!C26,0)</f>
        <v>127288.57890148212</v>
      </c>
      <c r="AB29" s="60">
        <f t="shared" si="18"/>
        <v>127288.57890148212</v>
      </c>
    </row>
    <row r="30" spans="1:37" ht="19.5" thickBot="1" x14ac:dyDescent="0.35">
      <c r="A30" s="57"/>
      <c r="B30" s="116" t="s">
        <v>133</v>
      </c>
      <c r="C30" s="116"/>
      <c r="D30" s="116"/>
      <c r="E30" s="116"/>
      <c r="F30" s="116"/>
      <c r="G30" s="116"/>
      <c r="H30" s="116" t="s">
        <v>133</v>
      </c>
      <c r="I30" s="116"/>
      <c r="J30" s="116"/>
      <c r="K30" s="116"/>
      <c r="L30" s="116"/>
      <c r="M30" s="116"/>
      <c r="N30" s="116" t="s">
        <v>133</v>
      </c>
      <c r="O30" s="116"/>
      <c r="P30" s="116"/>
      <c r="Q30" s="116"/>
      <c r="R30" s="116"/>
      <c r="S30" s="116"/>
      <c r="T30" s="117" t="s">
        <v>134</v>
      </c>
      <c r="U30" s="117"/>
      <c r="V30" s="117"/>
      <c r="W30" s="117"/>
      <c r="X30" s="117"/>
      <c r="Y30" s="117"/>
      <c r="Z30" s="117" t="s">
        <v>134</v>
      </c>
      <c r="AA30" s="117"/>
      <c r="AB30" s="117"/>
      <c r="AC30" s="117"/>
      <c r="AD30" s="117"/>
      <c r="AE30" s="117"/>
      <c r="AF30" s="117" t="s">
        <v>134</v>
      </c>
      <c r="AG30" s="117"/>
      <c r="AH30" s="117"/>
      <c r="AI30" s="117"/>
      <c r="AJ30" s="117"/>
      <c r="AK30" s="117"/>
    </row>
    <row r="31" spans="1:37" ht="16.5" customHeight="1" x14ac:dyDescent="0.25">
      <c r="A31" s="62" t="s">
        <v>81</v>
      </c>
      <c r="B31" s="118" t="s">
        <v>178</v>
      </c>
      <c r="C31" s="112" t="s">
        <v>127</v>
      </c>
      <c r="D31" s="113"/>
      <c r="E31" s="112" t="s">
        <v>124</v>
      </c>
      <c r="F31" s="114"/>
      <c r="G31" s="115"/>
      <c r="H31" s="120" t="s">
        <v>151</v>
      </c>
      <c r="I31" s="112" t="s">
        <v>129</v>
      </c>
      <c r="J31" s="113"/>
      <c r="K31" s="112" t="s">
        <v>130</v>
      </c>
      <c r="L31" s="114"/>
      <c r="M31" s="115"/>
      <c r="N31" s="120" t="s">
        <v>152</v>
      </c>
      <c r="O31" s="112" t="s">
        <v>131</v>
      </c>
      <c r="P31" s="113"/>
      <c r="Q31" s="112" t="s">
        <v>132</v>
      </c>
      <c r="R31" s="114"/>
      <c r="S31" s="115"/>
      <c r="T31" s="118" t="s">
        <v>178</v>
      </c>
      <c r="U31" s="112" t="s">
        <v>127</v>
      </c>
      <c r="V31" s="113"/>
      <c r="W31" s="112" t="s">
        <v>124</v>
      </c>
      <c r="X31" s="114"/>
      <c r="Y31" s="115"/>
      <c r="Z31" s="110" t="s">
        <v>126</v>
      </c>
      <c r="AA31" s="112" t="s">
        <v>129</v>
      </c>
      <c r="AB31" s="113"/>
      <c r="AC31" s="112" t="s">
        <v>130</v>
      </c>
      <c r="AD31" s="114"/>
      <c r="AE31" s="115"/>
      <c r="AF31" s="110" t="s">
        <v>128</v>
      </c>
      <c r="AG31" s="112" t="s">
        <v>131</v>
      </c>
      <c r="AH31" s="113"/>
      <c r="AI31" s="112" t="s">
        <v>132</v>
      </c>
      <c r="AJ31" s="114"/>
      <c r="AK31" s="115"/>
    </row>
    <row r="32" spans="1:37" ht="16.5" customHeight="1" x14ac:dyDescent="0.25">
      <c r="A32" s="57" t="s">
        <v>77</v>
      </c>
      <c r="B32" s="119"/>
      <c r="C32" s="63" t="s">
        <v>120</v>
      </c>
      <c r="D32" s="64" t="s">
        <v>121</v>
      </c>
      <c r="E32" s="63" t="s">
        <v>118</v>
      </c>
      <c r="F32" s="65" t="s">
        <v>119</v>
      </c>
      <c r="G32" s="66" t="s">
        <v>122</v>
      </c>
      <c r="H32" s="121"/>
      <c r="I32" s="63" t="s">
        <v>120</v>
      </c>
      <c r="J32" s="64" t="s">
        <v>121</v>
      </c>
      <c r="K32" s="63" t="s">
        <v>118</v>
      </c>
      <c r="L32" s="65" t="s">
        <v>119</v>
      </c>
      <c r="M32" s="66" t="s">
        <v>122</v>
      </c>
      <c r="N32" s="121"/>
      <c r="O32" s="63" t="s">
        <v>120</v>
      </c>
      <c r="P32" s="64" t="s">
        <v>121</v>
      </c>
      <c r="Q32" s="63" t="s">
        <v>118</v>
      </c>
      <c r="R32" s="65" t="s">
        <v>119</v>
      </c>
      <c r="S32" s="66" t="s">
        <v>122</v>
      </c>
      <c r="T32" s="119"/>
      <c r="U32" s="63" t="s">
        <v>120</v>
      </c>
      <c r="V32" s="64" t="s">
        <v>121</v>
      </c>
      <c r="W32" s="63" t="s">
        <v>118</v>
      </c>
      <c r="X32" s="65" t="s">
        <v>119</v>
      </c>
      <c r="Y32" s="66" t="s">
        <v>122</v>
      </c>
      <c r="Z32" s="111"/>
      <c r="AA32" s="63" t="s">
        <v>120</v>
      </c>
      <c r="AB32" s="64" t="s">
        <v>121</v>
      </c>
      <c r="AC32" s="63" t="s">
        <v>118</v>
      </c>
      <c r="AD32" s="65" t="s">
        <v>119</v>
      </c>
      <c r="AE32" s="66" t="s">
        <v>122</v>
      </c>
      <c r="AF32" s="111"/>
      <c r="AG32" s="63" t="s">
        <v>120</v>
      </c>
      <c r="AH32" s="64" t="s">
        <v>121</v>
      </c>
      <c r="AI32" s="63" t="s">
        <v>118</v>
      </c>
      <c r="AJ32" s="65" t="s">
        <v>119</v>
      </c>
      <c r="AK32" s="66" t="s">
        <v>122</v>
      </c>
    </row>
    <row r="33" spans="1:37" x14ac:dyDescent="0.25">
      <c r="A33" s="57" t="str">
        <f>isospec!A2</f>
        <v>Rn-219</v>
      </c>
      <c r="B33" s="102" t="s">
        <v>169</v>
      </c>
      <c r="C33" s="103" t="s">
        <v>179</v>
      </c>
      <c r="D33" s="104">
        <f>Cia_219*(Aeq_Feq!$E$2)</f>
        <v>2.6447554629629631E-2</v>
      </c>
      <c r="E33" s="67">
        <f>IF(SUM(E34:E39)&lt;0.01,SUM(E34:E39),1-EXP(-SUM(E34:E39)))</f>
        <v>2.7685817883532859E-2</v>
      </c>
      <c r="F33" s="67">
        <f t="shared" ref="F33:G33" si="19">IF(SUM(F34:F39)&lt;0.01,SUM(F34:F39),1-EXP(-SUM(F34:F39)))</f>
        <v>8.2221992084276869E-5</v>
      </c>
      <c r="G33" s="67">
        <f t="shared" si="19"/>
        <v>2.7765760205964662E-2</v>
      </c>
      <c r="H33" s="102" t="s">
        <v>169</v>
      </c>
      <c r="I33" s="103" t="s">
        <v>179</v>
      </c>
      <c r="J33" s="104">
        <f>(H34/1000)*(Aeq_Feq!$E$2)</f>
        <v>1.1459825089333608E-4</v>
      </c>
      <c r="K33" s="67">
        <f>IF(SUM(K34:K39)&lt;0.01,SUM(K34:K39),1-EXP(-SUM(K34:K39)))</f>
        <v>1.2165564048459304E-4</v>
      </c>
      <c r="L33" s="67">
        <f t="shared" ref="L33" si="20">IF(SUM(L34:L39)&lt;0.01,SUM(L34:L39),1-EXP(-SUM(L34:L39)))</f>
        <v>3.5627099025887544E-7</v>
      </c>
      <c r="M33" s="67">
        <f t="shared" ref="M33" si="21">IF(SUM(M34:M39)&lt;0.01,SUM(M34:M39),1-EXP(-SUM(M34:M39)))</f>
        <v>1.2201191147485193E-4</v>
      </c>
      <c r="N33" s="102" t="s">
        <v>169</v>
      </c>
      <c r="O33" s="103" t="s">
        <v>179</v>
      </c>
      <c r="P33" s="104">
        <f>(N34/1000)*(Aeq_Feq!$E$2)</f>
        <v>7.9342663888888883E-7</v>
      </c>
      <c r="Q33" s="67">
        <f>IF(SUM(Q34:Q39)&lt;0.01,SUM(Q34:Q39),1-EXP(-SUM(Q34:Q39)))</f>
        <v>8.422888236E-7</v>
      </c>
      <c r="R33" s="67">
        <f t="shared" ref="R33" si="22">IF(SUM(R34:R39)&lt;0.01,SUM(R34:R39),1-EXP(-SUM(R34:R39)))</f>
        <v>2.4666597625283061E-9</v>
      </c>
      <c r="S33" s="67">
        <f t="shared" ref="S33" si="23">IF(SUM(S34:S39)&lt;0.01,SUM(S34:S39),1-EXP(-SUM(S34:S39)))</f>
        <v>8.4475548336252844E-7</v>
      </c>
      <c r="T33" s="102" t="s">
        <v>169</v>
      </c>
      <c r="U33" s="103" t="s">
        <v>179</v>
      </c>
      <c r="V33" s="104">
        <f>Cia_219*(Aeq_Feq!$G$2)</f>
        <v>1.9688756882716048E-2</v>
      </c>
      <c r="W33" s="67">
        <f>IF(SUM(W34:W39)&lt;0.01,SUM(W34:W39),1-EXP(-SUM(W34:W39)))</f>
        <v>1.6436530948450767E-2</v>
      </c>
      <c r="X33" s="67">
        <f t="shared" ref="X33" si="24">IF(SUM(X34:X39)&lt;0.01,SUM(X34:X39),1-EXP(-SUM(X34:X39)))</f>
        <v>1.5849569876660632E-5</v>
      </c>
      <c r="Y33" s="67">
        <f t="shared" ref="Y33" si="25">IF(SUM(Y34:Y39)&lt;0.01,SUM(Y34:Y39),1-EXP(-SUM(Y34:Y39)))</f>
        <v>1.6452119882842342E-2</v>
      </c>
      <c r="Z33" s="102" t="s">
        <v>169</v>
      </c>
      <c r="AA33" s="103" t="s">
        <v>179</v>
      </c>
      <c r="AB33" s="104">
        <f>(Z34/1000)*(Aeq_Feq!$G$2)</f>
        <v>8.5312125548863581E-5</v>
      </c>
      <c r="AC33" s="67">
        <f>IF(SUM(AC34:AC39)&lt;0.01,SUM(AC34:AC39),1-EXP(-SUM(AC34:AC39)))</f>
        <v>7.1811907483922528E-5</v>
      </c>
      <c r="AD33" s="67">
        <f t="shared" ref="AD33" si="26">IF(SUM(AD34:AD39)&lt;0.01,SUM(AD34:AD39),1-EXP(-SUM(AD34:AD39)))</f>
        <v>6.8676783570839055E-8</v>
      </c>
      <c r="AE33" s="67">
        <f t="shared" ref="AE33" si="27">IF(SUM(AE34:AE39)&lt;0.01,SUM(AE34:AE39),1-EXP(-SUM(AE34:AE39)))</f>
        <v>7.1880584267493364E-5</v>
      </c>
      <c r="AF33" s="102" t="s">
        <v>169</v>
      </c>
      <c r="AG33" s="103" t="s">
        <v>179</v>
      </c>
      <c r="AH33" s="104">
        <f>(AF34/1000)*(Aeq_Feq!$G$2)</f>
        <v>5.9066270648148142E-7</v>
      </c>
      <c r="AI33" s="67">
        <f>IF(SUM(AI34:AI39)&lt;0.01,SUM(AI34:AI39),1-EXP(-SUM(AI34:AI39)))</f>
        <v>4.9719328124999983E-7</v>
      </c>
      <c r="AJ33" s="67">
        <f t="shared" ref="AJ33" si="28">IF(SUM(AJ34:AJ39)&lt;0.01,SUM(AJ34:AJ39),1-EXP(-SUM(AJ34:AJ39)))</f>
        <v>4.7548709629981886E-10</v>
      </c>
      <c r="AK33" s="67">
        <f t="shared" ref="AK33" si="29">IF(SUM(AK34:AK39)&lt;0.01,SUM(AK34:AK39),1-EXP(-SUM(AK34:AK39)))</f>
        <v>4.9766876834629969E-7</v>
      </c>
    </row>
    <row r="34" spans="1:37" x14ac:dyDescent="0.25">
      <c r="A34" s="57" t="str">
        <f>isospec!A2</f>
        <v>Rn-219</v>
      </c>
      <c r="B34" s="75">
        <f>Cia_219*1000</f>
        <v>5000</v>
      </c>
      <c r="C34" s="71">
        <f>IFERROR(B34*IFAres_adj,".")</f>
        <v>805000000</v>
      </c>
      <c r="D34" s="72">
        <f>IFERROR(B34*EFres*(1/365)*EDres*ETres*(1/24)*GSFa,".")</f>
        <v>124657.53424657533</v>
      </c>
      <c r="E34" s="71">
        <f>C34*isospec!$B2</f>
        <v>0</v>
      </c>
      <c r="F34" s="73">
        <f>D34*isospec!$C2</f>
        <v>2.9693021365479452E-5</v>
      </c>
      <c r="G34" s="74">
        <f>SUM(E34:F34)</f>
        <v>2.9693021365479452E-5</v>
      </c>
      <c r="H34" s="70">
        <f>IFERROR(Cia_219*(AFgw*1000*isospec!$M2),".")</f>
        <v>21.66518842633371</v>
      </c>
      <c r="I34" s="71">
        <f t="shared" ref="I34:I39" si="30">IFERROR(H34*IFAres_adj,".")</f>
        <v>3488095.3366397275</v>
      </c>
      <c r="J34" s="72">
        <f t="shared" ref="J34:J39" si="31">IFERROR(H34*EFres*(1/365)*EDres*ETres*(1/24)*GSFa,".")</f>
        <v>540.14579364284032</v>
      </c>
      <c r="K34" s="71">
        <f>IFERROR(I34*isospec!$B2,".")</f>
        <v>0</v>
      </c>
      <c r="L34" s="73">
        <f>IFERROR(J34*isospec!$C2,".")</f>
        <v>1.2866098056605298E-7</v>
      </c>
      <c r="M34" s="74">
        <f>SUM(K34:L34)</f>
        <v>1.2866098056605298E-7</v>
      </c>
      <c r="N34" s="70">
        <f>Cia_219*AFss</f>
        <v>0.15</v>
      </c>
      <c r="O34" s="71">
        <f t="shared" ref="O34:O39" si="32">IFERROR(N34*IFAres_adj,".")</f>
        <v>24150</v>
      </c>
      <c r="P34" s="72">
        <f t="shared" ref="P34:P39" si="33">IFERROR(N34*EFres*(1/365)*EDres*ETres*(1/24)*GSFa,".")</f>
        <v>3.7397260273972597</v>
      </c>
      <c r="Q34" s="71">
        <f>O34*isospec!$B2</f>
        <v>0</v>
      </c>
      <c r="R34" s="73">
        <f>P34*isospec!$C2</f>
        <v>8.9079064096438345E-10</v>
      </c>
      <c r="S34" s="74">
        <f>SUM(Q34:R34)</f>
        <v>8.9079064096438345E-10</v>
      </c>
      <c r="T34" s="75">
        <f>Cia_219*1000</f>
        <v>5000</v>
      </c>
      <c r="U34" s="71">
        <f t="shared" ref="U34:U39" si="34">IFERROR(T34*EFw*EDw*ETw*(1/24)*IRAw,".")</f>
        <v>625000000</v>
      </c>
      <c r="V34" s="72">
        <f t="shared" ref="V34:V39" si="35">IFERROR(T34*EFw*(1/365)*EDw*ETw*(1/24)*GSFa,".")</f>
        <v>28538.812785388123</v>
      </c>
      <c r="W34" s="71">
        <f>U34*isospec!$B2</f>
        <v>0</v>
      </c>
      <c r="X34" s="73">
        <f>V34*isospec!$C2</f>
        <v>6.7978528767123279E-6</v>
      </c>
      <c r="Y34" s="74">
        <f>SUM(W34:X34)</f>
        <v>6.7978528767123279E-6</v>
      </c>
      <c r="Z34" s="70">
        <f>IFERROR(Cia_219*(AFgw*1000*isospec!$M2),".")</f>
        <v>21.66518842633371</v>
      </c>
      <c r="AA34" s="71">
        <f t="shared" ref="AA34:AA39" si="36">IFERROR(Z34*EFw*EDw*ETw*(1/24)*IRAw,".")</f>
        <v>2708148.5532917134</v>
      </c>
      <c r="AB34" s="72">
        <f t="shared" ref="AB34:AB39" si="37">IFERROR(Z34*EFw*(1/365)*EDw*ETw*(1/24)*GSFa,".")</f>
        <v>123.65975129185907</v>
      </c>
      <c r="AC34" s="71">
        <f>IFERROR(AA34*isospec!$B2,".")</f>
        <v>0</v>
      </c>
      <c r="AD34" s="73">
        <f>IFERROR(AB34*isospec!$C2,".")</f>
        <v>2.9455352693693452E-8</v>
      </c>
      <c r="AE34" s="74">
        <f>SUM(AC34:AD34)</f>
        <v>2.9455352693693452E-8</v>
      </c>
      <c r="AF34" s="70">
        <f>Cia_219*AFss</f>
        <v>0.15</v>
      </c>
      <c r="AG34" s="71">
        <f t="shared" ref="AG34:AG39" si="38">IFERROR(AF34*EFw*EDw*ETw*(1/24)*IRAw,".")</f>
        <v>18750</v>
      </c>
      <c r="AH34" s="72">
        <f t="shared" ref="AH34:AH39" si="39">IFERROR(AF34*EFw*(1/365)*EDw*ETw*(1/24)*GSFa,".")</f>
        <v>0.8561643835616437</v>
      </c>
      <c r="AI34" s="71">
        <f>AG34*isospec!$B2</f>
        <v>0</v>
      </c>
      <c r="AJ34" s="73">
        <f>AH34*isospec!$C2</f>
        <v>2.0393558630136983E-10</v>
      </c>
      <c r="AK34" s="74">
        <f>SUM(AI34:AJ34)</f>
        <v>2.0393558630136983E-10</v>
      </c>
    </row>
    <row r="35" spans="1:37" x14ac:dyDescent="0.25">
      <c r="A35" s="57" t="str">
        <f>isospec!A3</f>
        <v>Rn-219~Bi-211</v>
      </c>
      <c r="B35" s="70">
        <f>B$34*Aeq_Feq!$B3</f>
        <v>4284.5</v>
      </c>
      <c r="C35" s="71">
        <f t="shared" ref="C35:C39" si="40">IFERROR(B35*IFAres_adj,".")</f>
        <v>689804500</v>
      </c>
      <c r="D35" s="72">
        <f t="shared" ref="D35:D39" si="41">IFERROR(B35*EFres*(1/365)*EDres*ETres*(1/24)*GSFa,".")</f>
        <v>106819.04109589041</v>
      </c>
      <c r="E35" s="71">
        <f>C35*isospec!$B3</f>
        <v>0</v>
      </c>
      <c r="F35" s="73">
        <f>D35*isospec!$C3</f>
        <v>2.045494020257359E-5</v>
      </c>
      <c r="G35" s="74">
        <f t="shared" ref="G35:G39" si="42">SUM(E35:F35)</f>
        <v>2.045494020257359E-5</v>
      </c>
      <c r="H35" s="70">
        <f>H$34*Aeq_Feq!$B3</f>
        <v>18.564899962525356</v>
      </c>
      <c r="I35" s="71">
        <f t="shared" si="30"/>
        <v>2988948.8939665821</v>
      </c>
      <c r="J35" s="72">
        <f t="shared" si="31"/>
        <v>462.85093057255</v>
      </c>
      <c r="K35" s="71">
        <f>IFERROR(I35*isospec!$B3,".")</f>
        <v>0</v>
      </c>
      <c r="L35" s="73">
        <f>IFERROR(J35*isospec!$C3,".")</f>
        <v>8.8632026747629089E-8</v>
      </c>
      <c r="M35" s="74">
        <f t="shared" ref="M35:M39" si="43">SUM(K35:L35)</f>
        <v>8.8632026747629089E-8</v>
      </c>
      <c r="N35" s="70">
        <f>N$34*Aeq_Feq!$B3</f>
        <v>0.12853499999999998</v>
      </c>
      <c r="O35" s="71">
        <f t="shared" si="32"/>
        <v>20694.134999999998</v>
      </c>
      <c r="P35" s="72">
        <f t="shared" si="33"/>
        <v>3.2045712328767118</v>
      </c>
      <c r="Q35" s="71">
        <f>O35*isospec!$B3</f>
        <v>0</v>
      </c>
      <c r="R35" s="73">
        <f>P35*isospec!$C3</f>
        <v>6.1364820607720755E-10</v>
      </c>
      <c r="S35" s="74">
        <f t="shared" ref="S35:S39" si="44">SUM(Q35:R35)</f>
        <v>6.1364820607720755E-10</v>
      </c>
      <c r="T35" s="70">
        <f>T$34*Aeq_Feq!$C3</f>
        <v>3189</v>
      </c>
      <c r="U35" s="71">
        <f t="shared" si="34"/>
        <v>398625000</v>
      </c>
      <c r="V35" s="72">
        <f t="shared" si="35"/>
        <v>18202.054794520547</v>
      </c>
      <c r="W35" s="71">
        <f>U35*isospec!$B3</f>
        <v>0</v>
      </c>
      <c r="X35" s="73">
        <f>V35*isospec!$C3</f>
        <v>3.4855390814794517E-6</v>
      </c>
      <c r="Y35" s="74">
        <f t="shared" ref="Y35:Y39" si="45">SUM(W35:X35)</f>
        <v>3.4855390814794517E-6</v>
      </c>
      <c r="Z35" s="70">
        <f>Z$34*Aeq_Feq!$C3</f>
        <v>13.818057178315641</v>
      </c>
      <c r="AA35" s="71">
        <f t="shared" si="36"/>
        <v>1727257.1472894552</v>
      </c>
      <c r="AB35" s="72">
        <f t="shared" si="37"/>
        <v>78.87018937394771</v>
      </c>
      <c r="AC35" s="71">
        <f>IFERROR(AA35*isospec!$B3,".")</f>
        <v>0</v>
      </c>
      <c r="AD35" s="73">
        <f>IFERROR(AB35*isospec!$C3,".")</f>
        <v>1.510297219352049E-8</v>
      </c>
      <c r="AE35" s="74">
        <f t="shared" ref="AE35:AE39" si="46">SUM(AC35:AD35)</f>
        <v>1.510297219352049E-8</v>
      </c>
      <c r="AF35" s="70">
        <f>AF$34*Aeq_Feq!$C3</f>
        <v>9.5670000000000005E-2</v>
      </c>
      <c r="AG35" s="71">
        <f t="shared" si="38"/>
        <v>11958.75</v>
      </c>
      <c r="AH35" s="72">
        <f t="shared" si="39"/>
        <v>0.54606164383561639</v>
      </c>
      <c r="AI35" s="71">
        <f>AG35*isospec!$B3</f>
        <v>0</v>
      </c>
      <c r="AJ35" s="73">
        <f>AH35*isospec!$C3</f>
        <v>1.0456617244438355E-10</v>
      </c>
      <c r="AK35" s="74">
        <f t="shared" ref="AK35:AK39" si="47">SUM(AI35:AJ35)</f>
        <v>1.0456617244438355E-10</v>
      </c>
    </row>
    <row r="36" spans="1:37" x14ac:dyDescent="0.25">
      <c r="A36" s="57" t="str">
        <f>isospec!A4</f>
        <v>Rn-219~Pb-211</v>
      </c>
      <c r="B36" s="70">
        <f>B$34*Aeq_Feq!$B4</f>
        <v>4324</v>
      </c>
      <c r="C36" s="71">
        <f t="shared" si="40"/>
        <v>696164000</v>
      </c>
      <c r="D36" s="72">
        <f t="shared" si="41"/>
        <v>107803.83561643836</v>
      </c>
      <c r="E36" s="71">
        <f>C36*isospec!$B4</f>
        <v>2.8076294119999998E-2</v>
      </c>
      <c r="F36" s="73">
        <f>D36*isospec!$C4</f>
        <v>3.0084154144956492E-5</v>
      </c>
      <c r="G36" s="74">
        <f t="shared" si="42"/>
        <v>2.8106378274144955E-2</v>
      </c>
      <c r="H36" s="70">
        <f>H$34*Aeq_Feq!$B4</f>
        <v>18.736054951093394</v>
      </c>
      <c r="I36" s="71">
        <f t="shared" si="30"/>
        <v>3016504.8471260364</v>
      </c>
      <c r="J36" s="72">
        <f t="shared" si="31"/>
        <v>467.11808234232842</v>
      </c>
      <c r="K36" s="71">
        <f>IFERROR(I36*isospec!$B4,".")</f>
        <v>1.2165564048459304E-4</v>
      </c>
      <c r="L36" s="73">
        <f>IFERROR(J36*isospec!$C4,".")</f>
        <v>1.3035577363947015E-7</v>
      </c>
      <c r="M36" s="74">
        <f t="shared" si="43"/>
        <v>1.2178599625823251E-4</v>
      </c>
      <c r="N36" s="70">
        <f>N$34*Aeq_Feq!$B4</f>
        <v>0.12972</v>
      </c>
      <c r="O36" s="71">
        <f t="shared" si="32"/>
        <v>20884.920000000002</v>
      </c>
      <c r="P36" s="72">
        <f t="shared" si="33"/>
        <v>3.2341150684931508</v>
      </c>
      <c r="Q36" s="71">
        <f>O36*isospec!$B4</f>
        <v>8.422888236E-7</v>
      </c>
      <c r="R36" s="73">
        <f>P36*isospec!$C4</f>
        <v>9.0252462434869476E-10</v>
      </c>
      <c r="S36" s="74">
        <f t="shared" si="44"/>
        <v>8.4319134822434873E-7</v>
      </c>
      <c r="T36" s="70">
        <f>T$34*Aeq_Feq!$C4</f>
        <v>3287.5</v>
      </c>
      <c r="U36" s="71">
        <f t="shared" si="34"/>
        <v>410937500</v>
      </c>
      <c r="V36" s="72">
        <f t="shared" si="35"/>
        <v>18764.269406392694</v>
      </c>
      <c r="W36" s="71">
        <f>U36*isospec!$B4</f>
        <v>1.6573109374999999E-2</v>
      </c>
      <c r="X36" s="73">
        <f>V36*isospec!$C4</f>
        <v>5.2364293905821916E-6</v>
      </c>
      <c r="Y36" s="74">
        <f t="shared" si="45"/>
        <v>1.657834580439058E-2</v>
      </c>
      <c r="Z36" s="70">
        <f>Z$34*Aeq_Feq!$C4</f>
        <v>14.244861390314414</v>
      </c>
      <c r="AA36" s="71">
        <f t="shared" si="36"/>
        <v>1780607.6737893017</v>
      </c>
      <c r="AB36" s="72">
        <f t="shared" si="37"/>
        <v>81.306286474397339</v>
      </c>
      <c r="AC36" s="71">
        <f>IFERROR(AA36*isospec!$B4,".")</f>
        <v>7.1811907483922528E-5</v>
      </c>
      <c r="AD36" s="73">
        <f>IFERROR(AB36*isospec!$C4,".")</f>
        <v>2.2689645885630994E-8</v>
      </c>
      <c r="AE36" s="74">
        <f t="shared" si="46"/>
        <v>7.1834597129808155E-5</v>
      </c>
      <c r="AF36" s="70">
        <f>AF$34*Aeq_Feq!$C4</f>
        <v>9.862499999999999E-2</v>
      </c>
      <c r="AG36" s="71">
        <f t="shared" si="38"/>
        <v>12328.124999999996</v>
      </c>
      <c r="AH36" s="72">
        <f t="shared" si="39"/>
        <v>0.5629280821917807</v>
      </c>
      <c r="AI36" s="71">
        <f>AG36*isospec!$B4</f>
        <v>4.9719328124999983E-7</v>
      </c>
      <c r="AJ36" s="73">
        <f>AH36*isospec!$C4</f>
        <v>1.5709288171746573E-10</v>
      </c>
      <c r="AK36" s="74">
        <f t="shared" si="47"/>
        <v>4.973503741317173E-7</v>
      </c>
    </row>
    <row r="37" spans="1:37" x14ac:dyDescent="0.25">
      <c r="A37" s="57" t="str">
        <f>isospec!A5</f>
        <v>Rn-219~Po-211</v>
      </c>
      <c r="B37" s="70">
        <f>B$34*Aeq_Feq!$B5</f>
        <v>11.999999999999998</v>
      </c>
      <c r="C37" s="71">
        <f t="shared" si="40"/>
        <v>1931999.9999999998</v>
      </c>
      <c r="D37" s="72">
        <f t="shared" si="41"/>
        <v>299.17808219178079</v>
      </c>
      <c r="E37" s="71">
        <f>C37*isospec!$B5</f>
        <v>0</v>
      </c>
      <c r="F37" s="73">
        <f>D37*isospec!$C5</f>
        <v>1.0479889893698629E-8</v>
      </c>
      <c r="G37" s="74">
        <f t="shared" si="42"/>
        <v>1.0479889893698629E-8</v>
      </c>
      <c r="H37" s="70">
        <f>H$34*Aeq_Feq!$B5</f>
        <v>5.1996452223200901E-2</v>
      </c>
      <c r="I37" s="71">
        <f t="shared" si="30"/>
        <v>8371.4288079353446</v>
      </c>
      <c r="J37" s="72">
        <f t="shared" si="31"/>
        <v>1.2963499047428171</v>
      </c>
      <c r="K37" s="71">
        <f>IFERROR(I37*isospec!$B5,".")</f>
        <v>0</v>
      </c>
      <c r="L37" s="73">
        <f>IFERROR(J37*isospec!$C5,".")</f>
        <v>4.5409757846842234E-11</v>
      </c>
      <c r="M37" s="74">
        <f t="shared" si="43"/>
        <v>4.5409757846842234E-11</v>
      </c>
      <c r="N37" s="70">
        <f>N$34*Aeq_Feq!$B5</f>
        <v>3.5999999999999997E-4</v>
      </c>
      <c r="O37" s="71">
        <f t="shared" si="32"/>
        <v>57.959999999999994</v>
      </c>
      <c r="P37" s="72">
        <f t="shared" si="33"/>
        <v>8.9753424657534227E-3</v>
      </c>
      <c r="Q37" s="71">
        <f>O37*isospec!$B5</f>
        <v>0</v>
      </c>
      <c r="R37" s="73">
        <f>P37*isospec!$C5</f>
        <v>3.1439669681095885E-13</v>
      </c>
      <c r="S37" s="74">
        <f t="shared" si="44"/>
        <v>3.1439669681095885E-13</v>
      </c>
      <c r="T37" s="70">
        <f>T$34*Aeq_Feq!$C5</f>
        <v>9</v>
      </c>
      <c r="U37" s="71">
        <f t="shared" si="34"/>
        <v>1125000</v>
      </c>
      <c r="V37" s="72">
        <f t="shared" si="35"/>
        <v>51.369863013698627</v>
      </c>
      <c r="W37" s="71">
        <f>U37*isospec!$B5</f>
        <v>0</v>
      </c>
      <c r="X37" s="73">
        <f>V37*isospec!$C5</f>
        <v>1.7994316438356164E-9</v>
      </c>
      <c r="Y37" s="74">
        <f t="shared" si="45"/>
        <v>1.7994316438356164E-9</v>
      </c>
      <c r="Z37" s="70">
        <f>Z$34*Aeq_Feq!$C5</f>
        <v>3.8997339167400676E-2</v>
      </c>
      <c r="AA37" s="71">
        <f t="shared" si="36"/>
        <v>4874.6673959250838</v>
      </c>
      <c r="AB37" s="72">
        <f t="shared" si="37"/>
        <v>0.22258755232534633</v>
      </c>
      <c r="AC37" s="71">
        <f>IFERROR(AA37*isospec!$B5,".")</f>
        <v>0</v>
      </c>
      <c r="AD37" s="73">
        <f>IFERROR(AB37*isospec!$C5,".")</f>
        <v>7.7970051248012074E-12</v>
      </c>
      <c r="AE37" s="74">
        <f t="shared" si="46"/>
        <v>7.7970051248012074E-12</v>
      </c>
      <c r="AF37" s="70">
        <f>AF$34*Aeq_Feq!$C5</f>
        <v>2.7E-4</v>
      </c>
      <c r="AG37" s="71">
        <f t="shared" si="38"/>
        <v>33.75</v>
      </c>
      <c r="AH37" s="72">
        <f t="shared" si="39"/>
        <v>1.5410958904109591E-3</v>
      </c>
      <c r="AI37" s="71">
        <f>AG37*isospec!$B5</f>
        <v>0</v>
      </c>
      <c r="AJ37" s="73">
        <f>AH37*isospec!$C5</f>
        <v>5.3982949315068502E-14</v>
      </c>
      <c r="AK37" s="74">
        <f t="shared" si="47"/>
        <v>5.3982949315068502E-14</v>
      </c>
    </row>
    <row r="38" spans="1:37" x14ac:dyDescent="0.25">
      <c r="A38" s="57" t="str">
        <f>isospec!A6</f>
        <v>Rn-219~Po-215</v>
      </c>
      <c r="B38" s="70">
        <f>B$34*Aeq_Feq!$B6</f>
        <v>5000</v>
      </c>
      <c r="C38" s="71">
        <f t="shared" si="40"/>
        <v>805000000</v>
      </c>
      <c r="D38" s="72">
        <f t="shared" si="41"/>
        <v>124657.53424657533</v>
      </c>
      <c r="E38" s="71">
        <f>C38*isospec!$B6</f>
        <v>0</v>
      </c>
      <c r="F38" s="73">
        <f>D38*isospec!$C6</f>
        <v>9.0825712412054791E-8</v>
      </c>
      <c r="G38" s="74">
        <f t="shared" si="42"/>
        <v>9.0825712412054791E-8</v>
      </c>
      <c r="H38" s="70">
        <f>H$34*Aeq_Feq!$B6</f>
        <v>21.66518842633371</v>
      </c>
      <c r="I38" s="71">
        <f t="shared" si="30"/>
        <v>3488095.3366397275</v>
      </c>
      <c r="J38" s="72">
        <f t="shared" si="31"/>
        <v>540.14579364284032</v>
      </c>
      <c r="K38" s="71">
        <f>IFERROR(I38*isospec!$B6,".")</f>
        <v>0</v>
      </c>
      <c r="L38" s="73">
        <f>IFERROR(J38*isospec!$C6,".")</f>
        <v>3.9355123467263264E-10</v>
      </c>
      <c r="M38" s="74">
        <f t="shared" si="43"/>
        <v>3.9355123467263264E-10</v>
      </c>
      <c r="N38" s="70">
        <f>N$34*Aeq_Feq!$B6</f>
        <v>0.15</v>
      </c>
      <c r="O38" s="71">
        <f t="shared" si="32"/>
        <v>24150</v>
      </c>
      <c r="P38" s="72">
        <f t="shared" si="33"/>
        <v>3.7397260273972597</v>
      </c>
      <c r="Q38" s="71">
        <f>O38*isospec!$B6</f>
        <v>0</v>
      </c>
      <c r="R38" s="73">
        <f>P38*isospec!$C6</f>
        <v>2.7247713723616435E-12</v>
      </c>
      <c r="S38" s="74">
        <f t="shared" si="44"/>
        <v>2.7247713723616435E-12</v>
      </c>
      <c r="T38" s="70">
        <f>T$34*Aeq_Feq!$C6</f>
        <v>4973</v>
      </c>
      <c r="U38" s="71">
        <f t="shared" si="34"/>
        <v>621625000</v>
      </c>
      <c r="V38" s="72">
        <f t="shared" si="35"/>
        <v>28384.703196347029</v>
      </c>
      <c r="W38" s="71">
        <f>U38*isospec!$B6</f>
        <v>0</v>
      </c>
      <c r="X38" s="73">
        <f>V38*isospec!$C6</f>
        <v>2.0681147794191778E-8</v>
      </c>
      <c r="Y38" s="74">
        <f t="shared" si="45"/>
        <v>2.0681147794191778E-8</v>
      </c>
      <c r="Z38" s="70">
        <f>Z$34*Aeq_Feq!$C6</f>
        <v>21.548196408831508</v>
      </c>
      <c r="AA38" s="71">
        <f t="shared" si="36"/>
        <v>2693524.5511039379</v>
      </c>
      <c r="AB38" s="72">
        <f t="shared" si="37"/>
        <v>122.99198863488303</v>
      </c>
      <c r="AC38" s="71">
        <f>IFERROR(AA38*isospec!$B6,".")</f>
        <v>0</v>
      </c>
      <c r="AD38" s="73">
        <f>IFERROR(AB38*isospec!$C6,".")</f>
        <v>8.9612192766804131E-11</v>
      </c>
      <c r="AE38" s="74">
        <f t="shared" si="46"/>
        <v>8.9612192766804131E-11</v>
      </c>
      <c r="AF38" s="70">
        <f>AF$34*Aeq_Feq!$C6</f>
        <v>0.14918999999999999</v>
      </c>
      <c r="AG38" s="71">
        <f t="shared" si="38"/>
        <v>18648.75</v>
      </c>
      <c r="AH38" s="72">
        <f t="shared" si="39"/>
        <v>0.85154109589041094</v>
      </c>
      <c r="AI38" s="71">
        <f>AG38*isospec!$B6</f>
        <v>0</v>
      </c>
      <c r="AJ38" s="73">
        <f>AH38*isospec!$C6</f>
        <v>6.2043443382575343E-13</v>
      </c>
      <c r="AK38" s="74">
        <f t="shared" si="47"/>
        <v>6.2043443382575343E-13</v>
      </c>
    </row>
    <row r="39" spans="1:37" x14ac:dyDescent="0.25">
      <c r="A39" s="57" t="str">
        <f>isospec!A7</f>
        <v>Rn-219~Tl-207</v>
      </c>
      <c r="B39" s="70">
        <f>B$34*Aeq_Feq!$B7</f>
        <v>4185.5</v>
      </c>
      <c r="C39" s="71">
        <f t="shared" si="40"/>
        <v>673865500</v>
      </c>
      <c r="D39" s="72">
        <f t="shared" si="41"/>
        <v>104350.82191780822</v>
      </c>
      <c r="E39" s="71">
        <f>C39*isospec!$B7</f>
        <v>0</v>
      </c>
      <c r="F39" s="73">
        <f>D39*isospec!$C7</f>
        <v>1.8885707689615889E-6</v>
      </c>
      <c r="G39" s="74">
        <f t="shared" si="42"/>
        <v>1.8885707689615889E-6</v>
      </c>
      <c r="H39" s="70">
        <f>H$34*Aeq_Feq!$B7</f>
        <v>18.135929231683949</v>
      </c>
      <c r="I39" s="71">
        <f t="shared" si="30"/>
        <v>2919884.6063011158</v>
      </c>
      <c r="J39" s="72">
        <f t="shared" si="31"/>
        <v>452.15604385842175</v>
      </c>
      <c r="K39" s="71">
        <f>IFERROR(I39*isospec!$B7,".")</f>
        <v>0</v>
      </c>
      <c r="L39" s="73">
        <f>IFERROR(J39*isospec!$C7,".")</f>
        <v>8.183248313203754E-9</v>
      </c>
      <c r="M39" s="74">
        <f t="shared" si="43"/>
        <v>8.183248313203754E-9</v>
      </c>
      <c r="N39" s="70">
        <f>N$34*Aeq_Feq!$B7</f>
        <v>0.12556499999999998</v>
      </c>
      <c r="O39" s="71">
        <f t="shared" si="32"/>
        <v>20215.964999999997</v>
      </c>
      <c r="P39" s="72">
        <f t="shared" si="33"/>
        <v>3.130524657534246</v>
      </c>
      <c r="Q39" s="71">
        <f>O39*isospec!$B7</f>
        <v>0</v>
      </c>
      <c r="R39" s="73">
        <f>P39*isospec!$C7</f>
        <v>5.6657123068847659E-11</v>
      </c>
      <c r="S39" s="74">
        <f t="shared" si="44"/>
        <v>5.6657123068847659E-11</v>
      </c>
      <c r="T39" s="70">
        <f>T$34*Aeq_Feq!$C7</f>
        <v>2974.5</v>
      </c>
      <c r="U39" s="71">
        <f t="shared" si="34"/>
        <v>371812500</v>
      </c>
      <c r="V39" s="72">
        <f t="shared" si="35"/>
        <v>16977.739726027394</v>
      </c>
      <c r="W39" s="71">
        <f>U39*isospec!$B7</f>
        <v>0</v>
      </c>
      <c r="X39" s="73">
        <f>V39*isospec!$C7</f>
        <v>3.0726794844863004E-7</v>
      </c>
      <c r="Y39" s="74">
        <f t="shared" si="45"/>
        <v>3.0726794844863004E-7</v>
      </c>
      <c r="Z39" s="70">
        <f>Z$34*Aeq_Feq!$C7</f>
        <v>12.888620594825923</v>
      </c>
      <c r="AA39" s="71">
        <f t="shared" si="36"/>
        <v>1611077.5743532404</v>
      </c>
      <c r="AB39" s="72">
        <f t="shared" si="37"/>
        <v>73.56518604352695</v>
      </c>
      <c r="AC39" s="71">
        <f>IFERROR(AA39*isospec!$B7,".")</f>
        <v>0</v>
      </c>
      <c r="AD39" s="73">
        <f>IFERROR(AB39*isospec!$C7,".")</f>
        <v>1.3314036001025126E-9</v>
      </c>
      <c r="AE39" s="74">
        <f t="shared" si="46"/>
        <v>1.3314036001025126E-9</v>
      </c>
      <c r="AF39" s="70">
        <f>AF$34*Aeq_Feq!$C7</f>
        <v>8.9234999999999995E-2</v>
      </c>
      <c r="AG39" s="71">
        <f t="shared" si="38"/>
        <v>11154.375</v>
      </c>
      <c r="AH39" s="72">
        <f t="shared" si="39"/>
        <v>0.5093321917808219</v>
      </c>
      <c r="AI39" s="71">
        <f>AG39*isospec!$B7</f>
        <v>0</v>
      </c>
      <c r="AJ39" s="73">
        <f>AH39*isospec!$C7</f>
        <v>9.2180384534589027E-12</v>
      </c>
      <c r="AK39" s="74">
        <f t="shared" si="47"/>
        <v>9.2180384534589027E-12</v>
      </c>
    </row>
    <row r="40" spans="1:37" x14ac:dyDescent="0.25">
      <c r="A40" s="57" t="str">
        <f>isospec!A8</f>
        <v>Rn-220</v>
      </c>
      <c r="B40" s="102" t="s">
        <v>169</v>
      </c>
      <c r="C40" s="103" t="s">
        <v>179</v>
      </c>
      <c r="D40" s="104">
        <f>Cia_220*(Aeq_Feq!$E$8)</f>
        <v>0.140404052</v>
      </c>
      <c r="E40" s="67">
        <f>IF(SUM(E41:E46)&lt;0.01,SUM(E41:E46),1-EXP(-SUM(E41:E46)))</f>
        <v>0.14325833380025121</v>
      </c>
      <c r="F40" s="67">
        <f t="shared" ref="F40:G40" si="48">IF(SUM(F41:F46)&lt;0.01,SUM(F41:F46),1-EXP(-SUM(F41:F46)))</f>
        <v>1.7856455870051804E-4</v>
      </c>
      <c r="G40" s="67">
        <f t="shared" si="48"/>
        <v>0.14341130383987633</v>
      </c>
      <c r="H40" s="102" t="s">
        <v>169</v>
      </c>
      <c r="I40" s="103" t="s">
        <v>179</v>
      </c>
      <c r="J40" s="104">
        <f>(H41/1000)*(Aeq_Feq!$E$8)</f>
        <v>6.0837604848015131E-4</v>
      </c>
      <c r="K40" s="67">
        <f>IF(SUM(K41:K46)&lt;0.01,SUM(K41:K46),1-EXP(-SUM(K41:K46)))</f>
        <v>6.6996928440393603E-4</v>
      </c>
      <c r="L40" s="67">
        <f t="shared" ref="L40" si="49">IF(SUM(L41:L46)&lt;0.01,SUM(L41:L46),1-EXP(-SUM(L41:L46)))</f>
        <v>7.7372696210236994E-7</v>
      </c>
      <c r="M40" s="67">
        <f t="shared" ref="M40" si="50">IF(SUM(M41:M46)&lt;0.01,SUM(M41:M46),1-EXP(-SUM(M41:M46)))</f>
        <v>6.7074301136603844E-4</v>
      </c>
      <c r="N40" s="102" t="s">
        <v>169</v>
      </c>
      <c r="O40" s="103" t="s">
        <v>179</v>
      </c>
      <c r="P40" s="104">
        <f>(N41/1000)*(Aeq_Feq!$E$8)</f>
        <v>4.2121215599999993E-6</v>
      </c>
      <c r="Q40" s="67">
        <f>IF(SUM(Q41:Q46)&lt;0.01,SUM(Q41:Q46),1-EXP(-SUM(Q41:Q46)))</f>
        <v>4.6385653649999996E-6</v>
      </c>
      <c r="R40" s="67">
        <f t="shared" ref="R40" si="51">IF(SUM(R41:R46)&lt;0.01,SUM(R41:R46),1-EXP(-SUM(R41:R46)))</f>
        <v>5.3569367610155412E-9</v>
      </c>
      <c r="S40" s="67">
        <f t="shared" ref="S40" si="52">IF(SUM(S41:S46)&lt;0.01,SUM(S41:S46),1-EXP(-SUM(S41:S46)))</f>
        <v>4.6439223017610159E-6</v>
      </c>
      <c r="T40" s="102" t="s">
        <v>169</v>
      </c>
      <c r="U40" s="103" t="s">
        <v>179</v>
      </c>
      <c r="V40" s="104">
        <f>Cia_220*(Aeq_Feq!$G$8)</f>
        <v>3.4848434000000005E-2</v>
      </c>
      <c r="W40" s="67">
        <f>IF(SUM(W41:W46)&lt;0.01,SUM(W41:W46),1-EXP(-SUM(W41:W46)))</f>
        <v>4.1992215249567644E-2</v>
      </c>
      <c r="X40" s="67">
        <f t="shared" ref="X40" si="53">IF(SUM(X41:X46)&lt;0.01,SUM(X41:X46),1-EXP(-SUM(X41:X46)))</f>
        <v>1.0478796905589039E-5</v>
      </c>
      <c r="Y40" s="67">
        <f t="shared" ref="Y40" si="54">IF(SUM(Y41:Y46)&lt;0.01,SUM(Y41:Y46),1-EXP(-SUM(Y41:Y46)))</f>
        <v>4.2002253965981118E-2</v>
      </c>
      <c r="Z40" s="102" t="s">
        <v>169</v>
      </c>
      <c r="AA40" s="103" t="s">
        <v>179</v>
      </c>
      <c r="AB40" s="104">
        <f>(Z41/1000)*(Aeq_Feq!$G$8)</f>
        <v>1.5099957779453083E-4</v>
      </c>
      <c r="AC40" s="67">
        <f>IF(SUM(AC41:AC46)&lt;0.01,SUM(AC41:AC46),1-EXP(-SUM(AC41:AC46)))</f>
        <v>1.8588460854938995E-4</v>
      </c>
      <c r="AD40" s="67">
        <f t="shared" ref="AD40" si="55">IF(SUM(AD41:AD46)&lt;0.01,SUM(AD41:AD46),1-EXP(-SUM(AD41:AD46)))</f>
        <v>4.5405021888173832E-8</v>
      </c>
      <c r="AE40" s="67">
        <f t="shared" ref="AE40" si="56">IF(SUM(AE41:AE46)&lt;0.01,SUM(AE41:AE46),1-EXP(-SUM(AE41:AE46)))</f>
        <v>1.8593001357127814E-4</v>
      </c>
      <c r="AF40" s="102" t="s">
        <v>169</v>
      </c>
      <c r="AG40" s="103" t="s">
        <v>179</v>
      </c>
      <c r="AH40" s="104">
        <f>(AF41/1000)*(Aeq_Feq!$G$8)</f>
        <v>1.04545302E-6</v>
      </c>
      <c r="AI40" s="67">
        <f>IF(SUM(AI41:AI46)&lt;0.01,SUM(AI41:AI46),1-EXP(-SUM(AI41:AI46)))</f>
        <v>1.2869812500000001E-6</v>
      </c>
      <c r="AJ40" s="67">
        <f t="shared" ref="AJ40" si="57">IF(SUM(AJ41:AJ46)&lt;0.01,SUM(AJ41:AJ46),1-EXP(-SUM(AJ41:AJ46)))</f>
        <v>3.1436390716767117E-10</v>
      </c>
      <c r="AK40" s="67">
        <f t="shared" ref="AK40" si="58">IF(SUM(AK41:AK46)&lt;0.01,SUM(AK41:AK46),1-EXP(-SUM(AK41:AK46)))</f>
        <v>1.2872956139071679E-6</v>
      </c>
    </row>
    <row r="41" spans="1:37" x14ac:dyDescent="0.25">
      <c r="A41" s="57" t="str">
        <f>isospec!A8</f>
        <v>Rn-220</v>
      </c>
      <c r="B41" s="75">
        <f>Cia_220*1000</f>
        <v>5000</v>
      </c>
      <c r="C41" s="71">
        <f t="shared" ref="C41:C46" si="59">IFERROR(B41*IFAres_adj,".")</f>
        <v>805000000</v>
      </c>
      <c r="D41" s="72">
        <f t="shared" ref="D41:D46" si="60">IFERROR(B41*EFres*(1/365)*EDres*ETres*(1/24)*GSFa,".")</f>
        <v>124657.53424657533</v>
      </c>
      <c r="E41" s="71">
        <f>C41*isospec!$B8</f>
        <v>9.2574999999999992E-4</v>
      </c>
      <c r="F41" s="73">
        <f>D41*isospec!$C8</f>
        <v>3.2749655917808216E-7</v>
      </c>
      <c r="G41" s="74">
        <f t="shared" ref="G41:G46" si="61">SUM(E41:F41)</f>
        <v>9.2607749655917798E-4</v>
      </c>
      <c r="H41" s="70">
        <f>IFERROR(Cia_220*(AFgw*1000*isospec!$M8),".")</f>
        <v>21.66518842633371</v>
      </c>
      <c r="I41" s="71">
        <f t="shared" ref="I41:I46" si="62">IFERROR(H41*IFAres_adj,".")</f>
        <v>3488095.3366397275</v>
      </c>
      <c r="J41" s="72">
        <f t="shared" ref="J41:J46" si="63">IFERROR(H41*EFres*(1/365)*EDres*ETres*(1/24)*GSFa,".")</f>
        <v>540.14579364284032</v>
      </c>
      <c r="K41" s="71">
        <f>IFERROR(I41*isospec!$B8,".")</f>
        <v>4.0113096371356864E-6</v>
      </c>
      <c r="L41" s="73">
        <f>IFERROR(J41*isospec!$C8,".")</f>
        <v>1.4190549327138195E-9</v>
      </c>
      <c r="M41" s="74">
        <f t="shared" ref="M41:M46" si="64">SUM(K41:L41)</f>
        <v>4.0127286920684005E-6</v>
      </c>
      <c r="N41" s="70">
        <f>Cia_220*AFss</f>
        <v>0.15</v>
      </c>
      <c r="O41" s="71">
        <f t="shared" ref="O41:O46" si="65">IFERROR(N41*IFAres_adj,".")</f>
        <v>24150</v>
      </c>
      <c r="P41" s="72">
        <f t="shared" ref="P41:P46" si="66">IFERROR(N41*EFres*(1/365)*EDres*ETres*(1/24)*GSFa,".")</f>
        <v>3.7397260273972597</v>
      </c>
      <c r="Q41" s="71">
        <f>O41*isospec!$B8</f>
        <v>2.7772499999999999E-8</v>
      </c>
      <c r="R41" s="73">
        <f>P41*isospec!$C8</f>
        <v>9.8248967753424641E-12</v>
      </c>
      <c r="S41" s="74">
        <f t="shared" ref="S41:S46" si="67">SUM(Q41:R41)</f>
        <v>2.7782324896775342E-8</v>
      </c>
      <c r="T41" s="75">
        <f>Cia_220*1000</f>
        <v>5000</v>
      </c>
      <c r="U41" s="71">
        <f t="shared" ref="U41:U46" si="68">IFERROR(T41*EFw*EDw*ETw*(1/24)*IRAw,".")</f>
        <v>625000000</v>
      </c>
      <c r="V41" s="72">
        <f t="shared" ref="V41:V46" si="69">IFERROR(T41*EFw*(1/365)*EDw*ETw*(1/24)*GSFa,".")</f>
        <v>28538.812785388123</v>
      </c>
      <c r="W41" s="71">
        <f>U41*isospec!$B8</f>
        <v>7.1874999999999999E-4</v>
      </c>
      <c r="X41" s="73">
        <f>V41*isospec!$C8</f>
        <v>7.497631849315068E-8</v>
      </c>
      <c r="Y41" s="74">
        <f t="shared" ref="Y41:Y46" si="70">SUM(W41:X41)</f>
        <v>7.1882497631849313E-4</v>
      </c>
      <c r="Z41" s="70">
        <f>IFERROR(Cia_220*(AFgw*1000*isospec!$M8),".")</f>
        <v>21.66518842633371</v>
      </c>
      <c r="AA41" s="71">
        <f t="shared" ref="AA41:AA46" si="71">IFERROR(Z41*EFw*EDw*ETw*(1/24)*IRAw,".")</f>
        <v>2708148.5532917134</v>
      </c>
      <c r="AB41" s="72">
        <f t="shared" ref="AB41:AB46" si="72">IFERROR(Z41*EFw*(1/365)*EDw*ETw*(1/24)*GSFa,".")</f>
        <v>123.65975129185907</v>
      </c>
      <c r="AC41" s="71">
        <f>IFERROR(AA41*isospec!$B8,".")</f>
        <v>3.1143708362854703E-6</v>
      </c>
      <c r="AD41" s="73">
        <f>IFERROR(AB41*isospec!$C8,".")</f>
        <v>3.2487521353338365E-10</v>
      </c>
      <c r="AE41" s="74">
        <f t="shared" ref="AE41:AE46" si="73">SUM(AC41:AD41)</f>
        <v>3.1146957114990039E-6</v>
      </c>
      <c r="AF41" s="70">
        <f>Cia_220*AFss</f>
        <v>0.15</v>
      </c>
      <c r="AG41" s="71">
        <f t="shared" ref="AG41:AG46" si="74">IFERROR(AF41*EFw*EDw*ETw*(1/24)*IRAw,".")</f>
        <v>18750</v>
      </c>
      <c r="AH41" s="72">
        <f t="shared" ref="AH41:AH46" si="75">IFERROR(AF41*EFw*(1/365)*EDw*ETw*(1/24)*GSFa,".")</f>
        <v>0.8561643835616437</v>
      </c>
      <c r="AI41" s="71">
        <f>AG41*isospec!$B8</f>
        <v>2.1562499999999999E-8</v>
      </c>
      <c r="AJ41" s="73">
        <f>AH41*isospec!$C8</f>
        <v>2.2492895547945203E-12</v>
      </c>
      <c r="AK41" s="74">
        <f t="shared" ref="AK41:AK46" si="76">SUM(AI41:AJ41)</f>
        <v>2.1564749289554793E-8</v>
      </c>
    </row>
    <row r="42" spans="1:37" x14ac:dyDescent="0.25">
      <c r="A42" s="57" t="str">
        <f>isospec!A9</f>
        <v>Rn-220~Bi-212</v>
      </c>
      <c r="B42" s="70">
        <f>B$41*Aeq_Feq!$B9</f>
        <v>1053</v>
      </c>
      <c r="C42" s="71">
        <f t="shared" si="59"/>
        <v>169533000</v>
      </c>
      <c r="D42" s="72">
        <f t="shared" si="60"/>
        <v>26252.876712328769</v>
      </c>
      <c r="E42" s="71">
        <f>C42*isospec!$B9</f>
        <v>1.9157229000000001E-2</v>
      </c>
      <c r="F42" s="73">
        <f>D42*isospec!$C9</f>
        <v>1.2108202785932055E-5</v>
      </c>
      <c r="G42" s="74">
        <f t="shared" si="61"/>
        <v>1.9169337202785932E-2</v>
      </c>
      <c r="H42" s="70">
        <f>H$41*Aeq_Feq!$B9</f>
        <v>4.5626886825858799</v>
      </c>
      <c r="I42" s="71">
        <f t="shared" si="62"/>
        <v>734592.87789632671</v>
      </c>
      <c r="J42" s="72">
        <f t="shared" si="63"/>
        <v>113.7547041411822</v>
      </c>
      <c r="K42" s="71">
        <f>IFERROR(I42*isospec!$B9,".")</f>
        <v>8.3008995202284923E-5</v>
      </c>
      <c r="L42" s="73">
        <f>IFERROR(J42*isospec!$C9,".")</f>
        <v>5.2465298972295352E-8</v>
      </c>
      <c r="M42" s="74">
        <f t="shared" si="64"/>
        <v>8.3061460501257213E-5</v>
      </c>
      <c r="N42" s="70">
        <f>N$41*Aeq_Feq!$B9</f>
        <v>3.159E-2</v>
      </c>
      <c r="O42" s="71">
        <f t="shared" si="65"/>
        <v>5085.99</v>
      </c>
      <c r="P42" s="72">
        <f t="shared" si="66"/>
        <v>0.78758630136986307</v>
      </c>
      <c r="Q42" s="71">
        <f>O42*isospec!$B9</f>
        <v>5.7471686999999998E-7</v>
      </c>
      <c r="R42" s="73">
        <f>P42*isospec!$C9</f>
        <v>3.6324608357796165E-10</v>
      </c>
      <c r="S42" s="74">
        <f t="shared" si="67"/>
        <v>5.7508011608357789E-7</v>
      </c>
      <c r="T42" s="70">
        <f>T$41*Aeq_Feq!$C9</f>
        <v>261.5</v>
      </c>
      <c r="U42" s="71">
        <f t="shared" si="68"/>
        <v>32687499.999999996</v>
      </c>
      <c r="V42" s="72">
        <f t="shared" si="69"/>
        <v>1492.5799086757991</v>
      </c>
      <c r="W42" s="71">
        <f>U42*isospec!$B9</f>
        <v>3.6936874999999995E-3</v>
      </c>
      <c r="X42" s="73">
        <f>V42*isospec!$C9</f>
        <v>6.8839923359589035E-7</v>
      </c>
      <c r="Y42" s="74">
        <f t="shared" si="70"/>
        <v>3.6943758992335953E-3</v>
      </c>
      <c r="Z42" s="70">
        <f>Z$41*Aeq_Feq!$C9</f>
        <v>1.1330893546972531</v>
      </c>
      <c r="AA42" s="71">
        <f t="shared" si="71"/>
        <v>141636.16933715664</v>
      </c>
      <c r="AB42" s="72">
        <f t="shared" si="72"/>
        <v>6.4674049925642301</v>
      </c>
      <c r="AC42" s="71">
        <f>IFERROR(AA42*isospec!$B9,".")</f>
        <v>1.60048871350987E-5</v>
      </c>
      <c r="AD42" s="73">
        <f>IFERROR(AB42*isospec!$C9,".")</f>
        <v>2.9828598216797364E-9</v>
      </c>
      <c r="AE42" s="74">
        <f t="shared" si="73"/>
        <v>1.6007869994920378E-5</v>
      </c>
      <c r="AF42" s="70">
        <f>AF$41*Aeq_Feq!$C9</f>
        <v>7.8449999999999995E-3</v>
      </c>
      <c r="AG42" s="71">
        <f t="shared" si="74"/>
        <v>980.625</v>
      </c>
      <c r="AH42" s="72">
        <f t="shared" si="75"/>
        <v>4.4777397260273973E-2</v>
      </c>
      <c r="AI42" s="71">
        <f>AG42*isospec!$B9</f>
        <v>1.10810625E-7</v>
      </c>
      <c r="AJ42" s="73">
        <f>AH42*isospec!$C9</f>
        <v>2.0651977007876713E-11</v>
      </c>
      <c r="AK42" s="74">
        <f t="shared" si="76"/>
        <v>1.1083127697700788E-7</v>
      </c>
    </row>
    <row r="43" spans="1:37" x14ac:dyDescent="0.25">
      <c r="A43" s="57" t="str">
        <f>isospec!A10</f>
        <v>Rn-220~Pb-212</v>
      </c>
      <c r="B43" s="70">
        <f>B$41*Aeq_Feq!$B10</f>
        <v>1328.5</v>
      </c>
      <c r="C43" s="71">
        <f t="shared" si="59"/>
        <v>213888500</v>
      </c>
      <c r="D43" s="72">
        <f t="shared" si="60"/>
        <v>33121.506849315061</v>
      </c>
      <c r="E43" s="71">
        <f>C43*isospec!$B10</f>
        <v>0.13453586649999999</v>
      </c>
      <c r="F43" s="73">
        <f>D43*isospec!$C10</f>
        <v>1.8447357184006681E-5</v>
      </c>
      <c r="G43" s="74">
        <f t="shared" si="61"/>
        <v>0.134554313857184</v>
      </c>
      <c r="H43" s="70">
        <f>H$41*Aeq_Feq!$B10</f>
        <v>5.7564405648768666</v>
      </c>
      <c r="I43" s="71">
        <f t="shared" si="62"/>
        <v>926786.93094517558</v>
      </c>
      <c r="J43" s="72">
        <f t="shared" si="63"/>
        <v>143.51673737090272</v>
      </c>
      <c r="K43" s="71">
        <f>IFERROR(I43*isospec!$B10,".")</f>
        <v>5.8294897956451546E-4</v>
      </c>
      <c r="L43" s="73">
        <f>IFERROR(J43*isospec!$C10,".")</f>
        <v>7.9933093871877137E-8</v>
      </c>
      <c r="M43" s="74">
        <f t="shared" si="64"/>
        <v>5.8302891265838732E-4</v>
      </c>
      <c r="N43" s="70">
        <f>N$41*Aeq_Feq!$B10</f>
        <v>3.9854999999999995E-2</v>
      </c>
      <c r="O43" s="71">
        <f t="shared" si="65"/>
        <v>6416.6549999999988</v>
      </c>
      <c r="P43" s="72">
        <f t="shared" si="66"/>
        <v>0.99364520547945179</v>
      </c>
      <c r="Q43" s="71">
        <f>O43*isospec!$B10</f>
        <v>4.0360759949999996E-6</v>
      </c>
      <c r="R43" s="73">
        <f>P43*isospec!$C10</f>
        <v>5.5342071552020036E-10</v>
      </c>
      <c r="S43" s="74">
        <f t="shared" si="67"/>
        <v>4.0366294157155202E-6</v>
      </c>
      <c r="T43" s="70">
        <f>T$41*Aeq_Feq!$C10</f>
        <v>489.5</v>
      </c>
      <c r="U43" s="71">
        <f t="shared" si="68"/>
        <v>61187500</v>
      </c>
      <c r="V43" s="72">
        <f t="shared" si="69"/>
        <v>2793.9497716894975</v>
      </c>
      <c r="W43" s="71">
        <f>U43*isospec!$B10</f>
        <v>3.8486937499999999E-2</v>
      </c>
      <c r="X43" s="73">
        <f>V43*isospec!$C10</f>
        <v>1.5561184950616438E-6</v>
      </c>
      <c r="Y43" s="74">
        <f t="shared" si="70"/>
        <v>3.8488493618495059E-2</v>
      </c>
      <c r="Z43" s="70">
        <f>Z$41*Aeq_Feq!$C10</f>
        <v>2.1210219469380704</v>
      </c>
      <c r="AA43" s="71">
        <f t="shared" si="71"/>
        <v>265127.74336725881</v>
      </c>
      <c r="AB43" s="72">
        <f t="shared" si="72"/>
        <v>12.106289651473006</v>
      </c>
      <c r="AC43" s="71">
        <f>IFERROR(AA43*isospec!$B10,".")</f>
        <v>1.6676535057800579E-4</v>
      </c>
      <c r="AD43" s="73">
        <f>IFERROR(AB43*isospec!$C10,".")</f>
        <v>6.7427200818426722E-9</v>
      </c>
      <c r="AE43" s="74">
        <f t="shared" si="73"/>
        <v>1.6677209329808763E-4</v>
      </c>
      <c r="AF43" s="70">
        <f>AF$41*Aeq_Feq!$C10</f>
        <v>1.4685E-2</v>
      </c>
      <c r="AG43" s="71">
        <f t="shared" si="74"/>
        <v>1835.625</v>
      </c>
      <c r="AH43" s="72">
        <f t="shared" si="75"/>
        <v>8.3818493150684917E-2</v>
      </c>
      <c r="AI43" s="71">
        <f>AG43*isospec!$B10</f>
        <v>1.1546081250000001E-6</v>
      </c>
      <c r="AJ43" s="73">
        <f>AH43*isospec!$C10</f>
        <v>4.6683554851849307E-11</v>
      </c>
      <c r="AK43" s="74">
        <f t="shared" si="76"/>
        <v>1.154654808554852E-6</v>
      </c>
    </row>
    <row r="44" spans="1:37" x14ac:dyDescent="0.25">
      <c r="A44" s="57" t="str">
        <f>isospec!A11</f>
        <v>Rn-220~Po-212</v>
      </c>
      <c r="B44" s="70">
        <f>B$41*Aeq_Feq!$B11</f>
        <v>675</v>
      </c>
      <c r="C44" s="71">
        <f t="shared" si="59"/>
        <v>108675000</v>
      </c>
      <c r="D44" s="72">
        <f t="shared" si="60"/>
        <v>16828.767123287667</v>
      </c>
      <c r="E44" s="71">
        <f>C44*isospec!$B11</f>
        <v>0</v>
      </c>
      <c r="F44" s="73">
        <f>D44*isospec!$C11</f>
        <v>0</v>
      </c>
      <c r="G44" s="74">
        <f t="shared" si="61"/>
        <v>0</v>
      </c>
      <c r="H44" s="70">
        <f>H$41*Aeq_Feq!$B11</f>
        <v>2.9248004375550511</v>
      </c>
      <c r="I44" s="71">
        <f t="shared" si="62"/>
        <v>470892.87044636323</v>
      </c>
      <c r="J44" s="72">
        <f t="shared" si="63"/>
        <v>72.919682141783454</v>
      </c>
      <c r="K44" s="71">
        <f>IFERROR(I44*isospec!$B11,".")</f>
        <v>0</v>
      </c>
      <c r="L44" s="73">
        <f>IFERROR(J44*isospec!$C11,".")</f>
        <v>0</v>
      </c>
      <c r="M44" s="74">
        <f t="shared" si="64"/>
        <v>0</v>
      </c>
      <c r="N44" s="70">
        <f>N$41*Aeq_Feq!$B11</f>
        <v>2.0250000000000001E-2</v>
      </c>
      <c r="O44" s="71">
        <f t="shared" si="65"/>
        <v>3260.25</v>
      </c>
      <c r="P44" s="72">
        <f t="shared" si="66"/>
        <v>0.50486301369863018</v>
      </c>
      <c r="Q44" s="71">
        <f>O44*isospec!$B11</f>
        <v>0</v>
      </c>
      <c r="R44" s="73">
        <f>P44*isospec!$C11</f>
        <v>0</v>
      </c>
      <c r="S44" s="74">
        <f t="shared" si="67"/>
        <v>0</v>
      </c>
      <c r="T44" s="70">
        <f>T$41*Aeq_Feq!$C11</f>
        <v>167.5</v>
      </c>
      <c r="U44" s="71">
        <f t="shared" si="68"/>
        <v>20937500</v>
      </c>
      <c r="V44" s="72">
        <f t="shared" si="69"/>
        <v>956.05022831050223</v>
      </c>
      <c r="W44" s="71">
        <f>U44*isospec!$B11</f>
        <v>0</v>
      </c>
      <c r="X44" s="73">
        <f>V44*isospec!$C11</f>
        <v>0</v>
      </c>
      <c r="Y44" s="74">
        <f t="shared" si="70"/>
        <v>0</v>
      </c>
      <c r="Z44" s="70">
        <f>Z$41*Aeq_Feq!$C11</f>
        <v>0.72578381228217936</v>
      </c>
      <c r="AA44" s="71">
        <f t="shared" si="71"/>
        <v>90722.976535272421</v>
      </c>
      <c r="AB44" s="72">
        <f t="shared" si="72"/>
        <v>4.1426016682772797</v>
      </c>
      <c r="AC44" s="71">
        <f>IFERROR(AA44*isospec!$B11,".")</f>
        <v>0</v>
      </c>
      <c r="AD44" s="73">
        <f>IFERROR(AB44*isospec!$C11,".")</f>
        <v>0</v>
      </c>
      <c r="AE44" s="74">
        <f t="shared" si="73"/>
        <v>0</v>
      </c>
      <c r="AF44" s="70">
        <f>AF$41*Aeq_Feq!$C11</f>
        <v>5.025E-3</v>
      </c>
      <c r="AG44" s="71">
        <f t="shared" si="74"/>
        <v>628.125</v>
      </c>
      <c r="AH44" s="72">
        <f t="shared" si="75"/>
        <v>2.8681506849315065E-2</v>
      </c>
      <c r="AI44" s="71">
        <f>AG44*isospec!$B11</f>
        <v>0</v>
      </c>
      <c r="AJ44" s="73">
        <f>AH44*isospec!$C11</f>
        <v>0</v>
      </c>
      <c r="AK44" s="74">
        <f t="shared" si="76"/>
        <v>0</v>
      </c>
    </row>
    <row r="45" spans="1:37" x14ac:dyDescent="0.25">
      <c r="A45" s="57" t="str">
        <f>isospec!A12</f>
        <v>Rn-220~Po-216</v>
      </c>
      <c r="B45" s="70">
        <f>B$41*Aeq_Feq!$B12</f>
        <v>5000</v>
      </c>
      <c r="C45" s="71">
        <f t="shared" si="59"/>
        <v>805000000</v>
      </c>
      <c r="D45" s="72">
        <f t="shared" si="60"/>
        <v>124657.53424657533</v>
      </c>
      <c r="E45" s="71">
        <f>C45*isospec!$B12</f>
        <v>0</v>
      </c>
      <c r="F45" s="73">
        <f>D45*isospec!$C12</f>
        <v>8.2092470833972595E-9</v>
      </c>
      <c r="G45" s="74">
        <f t="shared" si="61"/>
        <v>8.2092470833972595E-9</v>
      </c>
      <c r="H45" s="70">
        <f>H$41*Aeq_Feq!$B12</f>
        <v>21.66518842633371</v>
      </c>
      <c r="I45" s="71">
        <f t="shared" si="62"/>
        <v>3488095.3366397275</v>
      </c>
      <c r="J45" s="72">
        <f t="shared" si="63"/>
        <v>540.14579364284032</v>
      </c>
      <c r="K45" s="71">
        <f>IFERROR(I45*isospec!$B12,".")</f>
        <v>0</v>
      </c>
      <c r="L45" s="73">
        <f>IFERROR(J45*isospec!$C12,".")</f>
        <v>3.5570976980026407E-11</v>
      </c>
      <c r="M45" s="74">
        <f t="shared" si="64"/>
        <v>3.5570976980026407E-11</v>
      </c>
      <c r="N45" s="70">
        <f>N$41*Aeq_Feq!$B12</f>
        <v>0.15</v>
      </c>
      <c r="O45" s="71">
        <f t="shared" si="65"/>
        <v>24150</v>
      </c>
      <c r="P45" s="72">
        <f t="shared" si="66"/>
        <v>3.7397260273972597</v>
      </c>
      <c r="Q45" s="71">
        <f>O45*isospec!$B12</f>
        <v>0</v>
      </c>
      <c r="R45" s="73">
        <f>P45*isospec!$C12</f>
        <v>2.4627741250191776E-13</v>
      </c>
      <c r="S45" s="74">
        <f t="shared" si="67"/>
        <v>2.4627741250191776E-13</v>
      </c>
      <c r="T45" s="70">
        <f>T$41*Aeq_Feq!$C12</f>
        <v>5000</v>
      </c>
      <c r="U45" s="71">
        <f t="shared" si="68"/>
        <v>625000000</v>
      </c>
      <c r="V45" s="72">
        <f t="shared" si="69"/>
        <v>28538.812785388123</v>
      </c>
      <c r="W45" s="71">
        <f>U45*isospec!$B12</f>
        <v>0</v>
      </c>
      <c r="X45" s="73">
        <f>V45*isospec!$C12</f>
        <v>1.8794063835616435E-9</v>
      </c>
      <c r="Y45" s="74">
        <f t="shared" si="70"/>
        <v>1.8794063835616435E-9</v>
      </c>
      <c r="Z45" s="70">
        <f>Z$41*Aeq_Feq!$C12</f>
        <v>21.66518842633371</v>
      </c>
      <c r="AA45" s="71">
        <f t="shared" si="71"/>
        <v>2708148.5532917134</v>
      </c>
      <c r="AB45" s="72">
        <f t="shared" si="72"/>
        <v>123.65975129185907</v>
      </c>
      <c r="AC45" s="71">
        <f>IFERROR(AA45*isospec!$B12,".")</f>
        <v>0</v>
      </c>
      <c r="AD45" s="73">
        <f>IFERROR(AB45*isospec!$C12,".")</f>
        <v>8.1435386859034832E-12</v>
      </c>
      <c r="AE45" s="74">
        <f t="shared" si="73"/>
        <v>8.1435386859034832E-12</v>
      </c>
      <c r="AF45" s="70">
        <f>AF$41*Aeq_Feq!$C12</f>
        <v>0.15</v>
      </c>
      <c r="AG45" s="71">
        <f t="shared" si="74"/>
        <v>18750</v>
      </c>
      <c r="AH45" s="72">
        <f t="shared" si="75"/>
        <v>0.8561643835616437</v>
      </c>
      <c r="AI45" s="71">
        <f>AG45*isospec!$B12</f>
        <v>0</v>
      </c>
      <c r="AJ45" s="73">
        <f>AH45*isospec!$C12</f>
        <v>5.6382191506849302E-14</v>
      </c>
      <c r="AK45" s="74">
        <f t="shared" si="76"/>
        <v>5.6382191506849302E-14</v>
      </c>
    </row>
    <row r="46" spans="1:37" x14ac:dyDescent="0.25">
      <c r="A46" s="57" t="str">
        <f>isospec!A13</f>
        <v>Rn-220~Tl-208</v>
      </c>
      <c r="B46" s="70">
        <f>B$41*Aeq_Feq!$B13</f>
        <v>373</v>
      </c>
      <c r="C46" s="71">
        <f t="shared" si="59"/>
        <v>60053000</v>
      </c>
      <c r="D46" s="72">
        <f t="shared" si="60"/>
        <v>9299.4520547945212</v>
      </c>
      <c r="E46" s="71">
        <f>C46*isospec!$B13</f>
        <v>0</v>
      </c>
      <c r="F46" s="73">
        <f>D46*isospec!$C13</f>
        <v>1.4767329292431783E-4</v>
      </c>
      <c r="G46" s="74">
        <f t="shared" si="61"/>
        <v>1.4767329292431783E-4</v>
      </c>
      <c r="H46" s="70">
        <f>H$41*Aeq_Feq!$B13</f>
        <v>1.6162230566044948</v>
      </c>
      <c r="I46" s="71">
        <f t="shared" si="62"/>
        <v>260211.91211332366</v>
      </c>
      <c r="J46" s="72">
        <f t="shared" si="63"/>
        <v>40.294876205755898</v>
      </c>
      <c r="K46" s="71">
        <f>IFERROR(I46*isospec!$B13,".")</f>
        <v>0</v>
      </c>
      <c r="L46" s="73">
        <f>IFERROR(J46*isospec!$C13,".")</f>
        <v>6.3987394334850359E-7</v>
      </c>
      <c r="M46" s="74">
        <f t="shared" si="64"/>
        <v>6.3987394334850359E-7</v>
      </c>
      <c r="N46" s="70">
        <f>N$41*Aeq_Feq!$B13</f>
        <v>1.119E-2</v>
      </c>
      <c r="O46" s="71">
        <f t="shared" si="65"/>
        <v>1801.5900000000001</v>
      </c>
      <c r="P46" s="72">
        <f t="shared" si="66"/>
        <v>0.27898356164383564</v>
      </c>
      <c r="Q46" s="71">
        <f>O46*isospec!$B13</f>
        <v>0</v>
      </c>
      <c r="R46" s="73">
        <f>P46*isospec!$C13</f>
        <v>4.4301987877295344E-9</v>
      </c>
      <c r="S46" s="74">
        <f t="shared" si="67"/>
        <v>4.4301987877295344E-9</v>
      </c>
      <c r="T46" s="70">
        <f>T$41*Aeq_Feq!$C13</f>
        <v>90</v>
      </c>
      <c r="U46" s="71">
        <f t="shared" si="68"/>
        <v>11250000</v>
      </c>
      <c r="V46" s="72">
        <f t="shared" si="69"/>
        <v>513.69863013698625</v>
      </c>
      <c r="W46" s="71">
        <f>U46*isospec!$B13</f>
        <v>0</v>
      </c>
      <c r="X46" s="73">
        <f>V46*isospec!$C13</f>
        <v>8.1574234520547928E-6</v>
      </c>
      <c r="Y46" s="74">
        <f t="shared" si="70"/>
        <v>8.1574234520547928E-6</v>
      </c>
      <c r="Z46" s="70">
        <f>Z$41*Aeq_Feq!$C13</f>
        <v>0.38997339167400674</v>
      </c>
      <c r="AA46" s="71">
        <f t="shared" si="71"/>
        <v>48746.673959250831</v>
      </c>
      <c r="AB46" s="72">
        <f t="shared" si="72"/>
        <v>2.2258755232534631</v>
      </c>
      <c r="AC46" s="71">
        <f>IFERROR(AA46*isospec!$B13,".")</f>
        <v>0</v>
      </c>
      <c r="AD46" s="73">
        <f>IFERROR(AB46*isospec!$C13,".")</f>
        <v>3.5346423232432137E-8</v>
      </c>
      <c r="AE46" s="74">
        <f t="shared" si="73"/>
        <v>3.5346423232432137E-8</v>
      </c>
      <c r="AF46" s="70">
        <f>AF$41*Aeq_Feq!$C13</f>
        <v>2.6999999999999997E-3</v>
      </c>
      <c r="AG46" s="71">
        <f t="shared" si="74"/>
        <v>337.5</v>
      </c>
      <c r="AH46" s="72">
        <f t="shared" si="75"/>
        <v>1.5410958904109585E-2</v>
      </c>
      <c r="AI46" s="71">
        <f>AG46*isospec!$B13</f>
        <v>0</v>
      </c>
      <c r="AJ46" s="73">
        <f>AH46*isospec!$C13</f>
        <v>2.4472270356164377E-10</v>
      </c>
      <c r="AK46" s="74">
        <f t="shared" si="76"/>
        <v>2.4472270356164377E-10</v>
      </c>
    </row>
    <row r="47" spans="1:37" x14ac:dyDescent="0.25">
      <c r="A47" s="57" t="str">
        <f>isospec!A14</f>
        <v>Rn-222</v>
      </c>
      <c r="B47" s="102" t="s">
        <v>169</v>
      </c>
      <c r="C47" s="103" t="s">
        <v>179</v>
      </c>
      <c r="D47" s="104">
        <f>Cia_222*(Aeq_Feq!$E$14)</f>
        <v>4.4494023700000003E-2</v>
      </c>
      <c r="E47" s="67">
        <f>IF(SUM(E48:E60)&lt;0.01,SUM(E48:E60),1-EXP(-SUM(E48:E60)))</f>
        <v>0.10297181543748002</v>
      </c>
      <c r="F47" s="68">
        <f>IF(SUM(F48:F60)&lt;0.01,SUM(F48:F60),1-EXP(-SUM(F48:F60)))</f>
        <v>7.9174508252821652E-4</v>
      </c>
      <c r="G47" s="69">
        <f>IF(SUM(G48:G60)&lt;0.01,SUM(G48:G60),1-EXP(-SUM(G48:G60)))</f>
        <v>0.10368175201001562</v>
      </c>
      <c r="H47" s="102" t="s">
        <v>169</v>
      </c>
      <c r="I47" s="103" t="s">
        <v>179</v>
      </c>
      <c r="J47" s="104">
        <f>(H48/1000)*(Aeq_Feq!$E$14)</f>
        <v>1.9279428146125156E-4</v>
      </c>
      <c r="K47" s="67">
        <f>IF(SUM(K48:K60)&lt;0.01,SUM(K48:K60),1-EXP(-SUM(K48:K60)))</f>
        <v>4.708625240169344E-4</v>
      </c>
      <c r="L47" s="68">
        <f>IF(SUM(L48:L60)&lt;0.01,SUM(L48:L60),1-EXP(-SUM(L48:L60)))</f>
        <v>3.4306612797193892E-6</v>
      </c>
      <c r="M47" s="69">
        <f>IF(SUM(M48:M60)&lt;0.01,SUM(M48:M60),1-EXP(-SUM(M48:M60)))</f>
        <v>4.7429318529665371E-4</v>
      </c>
      <c r="N47" s="102" t="s">
        <v>169</v>
      </c>
      <c r="O47" s="103" t="s">
        <v>179</v>
      </c>
      <c r="P47" s="104">
        <f>(N48/1000)*(Aeq_Feq!$E$14)</f>
        <v>1.334820711E-6</v>
      </c>
      <c r="Q47" s="67">
        <f>IF(SUM(Q48:Q60)&lt;0.01,SUM(Q48:Q60),1-EXP(-SUM(Q48:Q60)))</f>
        <v>3.2600398949999997E-6</v>
      </c>
      <c r="R47" s="68">
        <f>IF(SUM(R48:R60)&lt;0.01,SUM(R48:R60),1-EXP(-SUM(R48:R60)))</f>
        <v>2.3752352475846496E-8</v>
      </c>
      <c r="S47" s="69">
        <f>IF(SUM(S48:S60)&lt;0.01,SUM(S48:S60),1-EXP(-SUM(S48:S60)))</f>
        <v>3.2837922474758463E-6</v>
      </c>
      <c r="T47" s="102" t="s">
        <v>169</v>
      </c>
      <c r="U47" s="103" t="s">
        <v>179</v>
      </c>
      <c r="V47" s="104">
        <f>Cia_222*(Aeq_Feq!$G$14)</f>
        <v>3.6044806900000004E-2</v>
      </c>
      <c r="W47" s="67">
        <f>IF(SUM(W48:W60)&lt;0.01,SUM(W48:W60),1-EXP(-SUM(W48:W60)))</f>
        <v>6.1948157675010163E-2</v>
      </c>
      <c r="X47" s="68">
        <f>IF(SUM(X48:X60)&lt;0.01,SUM(X48:X60),1-EXP(-SUM(X48:X60)))</f>
        <v>1.2251229462504536E-4</v>
      </c>
      <c r="Y47" s="69">
        <f>IF(SUM(Y48:Y60)&lt;0.01,SUM(Y48:Y60),1-EXP(-SUM(Y48:Y60)))</f>
        <v>6.2063073519245004E-2</v>
      </c>
      <c r="Z47" s="102" t="s">
        <v>169</v>
      </c>
      <c r="AA47" s="103" t="s">
        <v>179</v>
      </c>
      <c r="AB47" s="104">
        <f>(Z48/1000)*(Aeq_Feq!$G$14)</f>
        <v>1.561835066558627E-4</v>
      </c>
      <c r="AC47" s="67">
        <f>IF(SUM(AC48:AC60)&lt;0.01,SUM(AC48:AC60),1-EXP(-SUM(AC48:AC60)))</f>
        <v>2.7709803078766347E-4</v>
      </c>
      <c r="AD47" s="68">
        <f>IF(SUM(AD48:AD60)&lt;0.01,SUM(AD48:AD60),1-EXP(-SUM(AD48:AD60)))</f>
        <v>5.3085038951882377E-7</v>
      </c>
      <c r="AE47" s="69">
        <f>IF(SUM(AE48:AE60)&lt;0.01,SUM(AE48:AE60),1-EXP(-SUM(AE48:AE60)))</f>
        <v>2.7762888117718231E-4</v>
      </c>
      <c r="AF47" s="102" t="s">
        <v>169</v>
      </c>
      <c r="AG47" s="103" t="s">
        <v>179</v>
      </c>
      <c r="AH47" s="104">
        <f>(AF48/1000)*(Aeq_Feq!$G$14)</f>
        <v>1.0813442069999999E-6</v>
      </c>
      <c r="AI47" s="67">
        <f>IF(SUM(AI48:AI60)&lt;0.01,SUM(AI48:AI60),1-EXP(-SUM(AI48:AI60)))</f>
        <v>1.9185018750000001E-6</v>
      </c>
      <c r="AJ47" s="68">
        <f>IF(SUM(AJ48:AJ60)&lt;0.01,SUM(AJ48:AJ60),1-EXP(-SUM(AJ48:AJ60)))</f>
        <v>3.675368838751361E-9</v>
      </c>
      <c r="AK47" s="69">
        <f>IF(SUM(AK48:AK60)&lt;0.01,SUM(AK48:AK60),1-EXP(-SUM(AK48:AK60)))</f>
        <v>1.9221772438387516E-6</v>
      </c>
    </row>
    <row r="48" spans="1:37" x14ac:dyDescent="0.25">
      <c r="A48" s="23" t="str">
        <f>isospec!A14</f>
        <v>Rn-222</v>
      </c>
      <c r="B48" s="75">
        <f>Cia_222*1000</f>
        <v>5000</v>
      </c>
      <c r="C48" s="76">
        <f t="shared" ref="C48" si="77">IFERROR(B48*IFAres_adj,".")</f>
        <v>805000000</v>
      </c>
      <c r="D48" s="77">
        <f t="shared" ref="D48:D60" si="78">IFERROR(B48*EFres*(1/365)*EDres*ETres*(1/24)*GSFa,".")</f>
        <v>124657.53424657533</v>
      </c>
      <c r="E48" s="76">
        <f>C48*isospec!$B14</f>
        <v>1.8354000000000001E-3</v>
      </c>
      <c r="F48" s="78">
        <f>D48*isospec!$C14</f>
        <v>2.0232009655890411E-7</v>
      </c>
      <c r="G48" s="74">
        <f>SUM(E48:F48)</f>
        <v>1.835602320096559E-3</v>
      </c>
      <c r="H48" s="70">
        <f>IFERROR(Cia_222*(AFgw*1000*isospec!$M14),".")</f>
        <v>21.66518842633371</v>
      </c>
      <c r="I48" s="71">
        <f>IFERROR(H48*IFAres_adj,".")</f>
        <v>3488095.3366397275</v>
      </c>
      <c r="J48" s="72">
        <f t="shared" ref="J48:J49" si="79">IFERROR(H48*EFres*(1/365)*EDres*ETres*(1/24)*GSFa,".")</f>
        <v>540.14579364284032</v>
      </c>
      <c r="K48" s="71">
        <f>IFERROR(I48*isospec!$B14,".")</f>
        <v>7.9528573675385789E-6</v>
      </c>
      <c r="L48" s="73">
        <f>IFERROR(J48*isospec!$C14,".")</f>
        <v>8.7666060287653747E-10</v>
      </c>
      <c r="M48" s="74">
        <f t="shared" ref="M48:M49" si="80">SUM(K48:L48)</f>
        <v>7.9537340281414561E-6</v>
      </c>
      <c r="N48" s="70">
        <f>Cia_222*AFss</f>
        <v>0.15</v>
      </c>
      <c r="O48" s="71">
        <f t="shared" ref="O48:O49" si="81">IFERROR(N48*IFAres_adj,".")</f>
        <v>24150</v>
      </c>
      <c r="P48" s="72">
        <f t="shared" ref="P48:P49" si="82">IFERROR(N48*EFres*(1/365)*EDres*ETres*(1/24)*GSFa,".")</f>
        <v>3.7397260273972597</v>
      </c>
      <c r="Q48" s="71">
        <f>O48*isospec!$B14</f>
        <v>5.5062E-8</v>
      </c>
      <c r="R48" s="73">
        <f>P48*isospec!$C14</f>
        <v>6.0696028967671229E-12</v>
      </c>
      <c r="S48" s="74">
        <f t="shared" ref="S48:S49" si="83">SUM(Q48:R48)</f>
        <v>5.5068069602896769E-8</v>
      </c>
      <c r="T48" s="75">
        <f>Cia_222*1000</f>
        <v>5000</v>
      </c>
      <c r="U48" s="71">
        <f t="shared" ref="U48:U49" si="84">IFERROR(T48*EFw*EDw*ETw*(1/24)*IRAw,".")</f>
        <v>625000000</v>
      </c>
      <c r="V48" s="72">
        <f t="shared" ref="V48:V49" si="85">IFERROR(T48*EFw*(1/365)*EDw*ETw*(1/24)*GSFa,".")</f>
        <v>28538.812785388123</v>
      </c>
      <c r="W48" s="76">
        <f>U48*isospec!$B14</f>
        <v>1.4250000000000001E-3</v>
      </c>
      <c r="X48" s="78">
        <f>V48*isospec!$C14</f>
        <v>4.6318703424657527E-8</v>
      </c>
      <c r="Y48" s="74">
        <f>SUM(W48:X48)</f>
        <v>1.4250463187034247E-3</v>
      </c>
      <c r="Z48" s="70">
        <f>IFERROR(Cia_222*(AFgw*1000*isospec!$M14),".")</f>
        <v>21.66518842633371</v>
      </c>
      <c r="AA48" s="71">
        <f t="shared" ref="AA48:AA49" si="86">IFERROR(Z48*EFw*EDw*ETw*(1/24)*IRAw,".")</f>
        <v>2708148.5532917134</v>
      </c>
      <c r="AB48" s="72">
        <f t="shared" ref="AB48:AB49" si="87">IFERROR(Z48*EFw*(1/365)*EDw*ETw*(1/24)*GSFa,".")</f>
        <v>123.65975129185907</v>
      </c>
      <c r="AC48" s="71">
        <f>IFERROR(AA48*isospec!$B14,".")</f>
        <v>6.1745787015051068E-6</v>
      </c>
      <c r="AD48" s="73">
        <f>IFERROR(AB48*isospec!$C14,".")</f>
        <v>2.007006874717348E-10</v>
      </c>
      <c r="AE48" s="74">
        <f t="shared" ref="AE48:AE49" si="88">SUM(AC48:AD48)</f>
        <v>6.1747794021925782E-6</v>
      </c>
      <c r="AF48" s="70">
        <f>Cia_222*AFss</f>
        <v>0.15</v>
      </c>
      <c r="AG48" s="71">
        <f t="shared" ref="AG48:AG49" si="89">IFERROR(AF48*EFw*EDw*ETw*(1/24)*IRAw,".")</f>
        <v>18750</v>
      </c>
      <c r="AH48" s="72">
        <f t="shared" ref="AH48:AH49" si="90">IFERROR(AF48*EFw*(1/365)*EDw*ETw*(1/24)*GSFa,".")</f>
        <v>0.8561643835616437</v>
      </c>
      <c r="AI48" s="71">
        <f>AG48*isospec!$B14</f>
        <v>4.2750000000000002E-8</v>
      </c>
      <c r="AJ48" s="73">
        <f>AH48*isospec!$C14</f>
        <v>1.3895611027397258E-12</v>
      </c>
      <c r="AK48" s="74">
        <f t="shared" ref="AK48:AK49" si="91">SUM(AI48:AJ48)</f>
        <v>4.275138956110274E-8</v>
      </c>
    </row>
    <row r="49" spans="1:37" x14ac:dyDescent="0.25">
      <c r="A49" s="23" t="str">
        <f>isospec!A15</f>
        <v>Rn-222~At-218</v>
      </c>
      <c r="B49" s="70">
        <f>B$48*Aeq_Feq!$B15</f>
        <v>0.98499999999999999</v>
      </c>
      <c r="C49" s="71">
        <f t="shared" ref="C49:C60" si="92">IFERROR(B49*IFAres_adj,".")</f>
        <v>158585</v>
      </c>
      <c r="D49" s="72">
        <f t="shared" si="78"/>
        <v>24.557534246575344</v>
      </c>
      <c r="E49" s="71">
        <f>C49*isospec!$B15</f>
        <v>0</v>
      </c>
      <c r="F49" s="73">
        <f>D49*isospec!$C15</f>
        <v>7.5637205479452059E-13</v>
      </c>
      <c r="G49" s="74">
        <f t="shared" ref="G49" si="93">SUM(E49:F49)</f>
        <v>7.5637205479452059E-13</v>
      </c>
      <c r="H49" s="70">
        <f>H$48*Aeq_Feq!$B15</f>
        <v>4.2680421199877408E-3</v>
      </c>
      <c r="I49" s="71">
        <f t="shared" ref="I49" si="94">IFERROR(H49*IFAres_adj,".")</f>
        <v>687.15478131802627</v>
      </c>
      <c r="J49" s="72">
        <f t="shared" si="79"/>
        <v>0.10640872134763958</v>
      </c>
      <c r="K49" s="71">
        <f>IFERROR(I49*isospec!$B15,".")</f>
        <v>0</v>
      </c>
      <c r="L49" s="73">
        <f>IFERROR(J49*isospec!$C15,".")</f>
        <v>3.277388617507299E-15</v>
      </c>
      <c r="M49" s="74">
        <f t="shared" si="80"/>
        <v>3.277388617507299E-15</v>
      </c>
      <c r="N49" s="70">
        <f>N$48*Aeq_Feq!$B15</f>
        <v>2.9549999999999997E-5</v>
      </c>
      <c r="O49" s="71">
        <f t="shared" si="81"/>
        <v>4.7575499999999993</v>
      </c>
      <c r="P49" s="72">
        <f t="shared" si="82"/>
        <v>7.3672602739726029E-4</v>
      </c>
      <c r="Q49" s="71">
        <f>O49*isospec!$B15</f>
        <v>0</v>
      </c>
      <c r="R49" s="73">
        <f>P49*isospec!$C15</f>
        <v>2.2691161643835617E-17</v>
      </c>
      <c r="S49" s="74">
        <f t="shared" si="83"/>
        <v>2.2691161643835617E-17</v>
      </c>
      <c r="T49" s="70">
        <f>T$48*Aeq_Feq!$C15</f>
        <v>0.95500000000000007</v>
      </c>
      <c r="U49" s="71">
        <f t="shared" si="84"/>
        <v>119375.00000000001</v>
      </c>
      <c r="V49" s="72">
        <f t="shared" si="85"/>
        <v>5.4509132420091326</v>
      </c>
      <c r="W49" s="71">
        <f>U49*isospec!$B15</f>
        <v>0</v>
      </c>
      <c r="X49" s="73">
        <f>V49*isospec!$C15</f>
        <v>1.6788812785388129E-13</v>
      </c>
      <c r="Y49" s="74">
        <f t="shared" ref="Y49" si="95">SUM(W49:X49)</f>
        <v>1.6788812785388129E-13</v>
      </c>
      <c r="Z49" s="70">
        <f>Z$48*Aeq_Feq!$C15</f>
        <v>4.1380509894297385E-3</v>
      </c>
      <c r="AA49" s="71">
        <f t="shared" si="86"/>
        <v>517.2563736787173</v>
      </c>
      <c r="AB49" s="72">
        <f t="shared" si="87"/>
        <v>2.3619012496745084E-2</v>
      </c>
      <c r="AC49" s="71">
        <f>IFERROR(AA49*isospec!$B15,".")</f>
        <v>0</v>
      </c>
      <c r="AD49" s="73">
        <f>IFERROR(AB49*isospec!$C15,".")</f>
        <v>7.2746558489974857E-16</v>
      </c>
      <c r="AE49" s="74">
        <f t="shared" si="88"/>
        <v>7.2746558489974857E-16</v>
      </c>
      <c r="AF49" s="70">
        <f>AF$48*Aeq_Feq!$C15</f>
        <v>2.8649999999999998E-5</v>
      </c>
      <c r="AG49" s="71">
        <f t="shared" si="89"/>
        <v>3.5812499999999994</v>
      </c>
      <c r="AH49" s="72">
        <f t="shared" si="90"/>
        <v>1.6352739726027395E-4</v>
      </c>
      <c r="AI49" s="71">
        <f>AG49*isospec!$B15</f>
        <v>0</v>
      </c>
      <c r="AJ49" s="73">
        <f>AH49*isospec!$C15</f>
        <v>5.0366438356164373E-18</v>
      </c>
      <c r="AK49" s="74">
        <f t="shared" si="91"/>
        <v>5.0366438356164373E-18</v>
      </c>
    </row>
    <row r="50" spans="1:37" x14ac:dyDescent="0.25">
      <c r="A50" s="23" t="str">
        <f>isospec!A16</f>
        <v>Rn-222~Bi-210</v>
      </c>
      <c r="B50" s="70">
        <f>B$48*Aeq_Feq!$B16</f>
        <v>0</v>
      </c>
      <c r="C50" s="71">
        <f t="shared" si="92"/>
        <v>0</v>
      </c>
      <c r="D50" s="72">
        <f t="shared" si="78"/>
        <v>0</v>
      </c>
      <c r="E50" s="71">
        <f>C50*isospec!$B16</f>
        <v>0</v>
      </c>
      <c r="F50" s="73">
        <f>D50*isospec!$C16</f>
        <v>0</v>
      </c>
      <c r="G50" s="74">
        <f t="shared" ref="G50:G60" si="96">SUM(E50:F50)</f>
        <v>0</v>
      </c>
      <c r="H50" s="70">
        <f>H$48*Aeq_Feq!$B16</f>
        <v>0</v>
      </c>
      <c r="I50" s="71">
        <f t="shared" ref="I50:I60" si="97">IFERROR(H50*IFAres_adj,".")</f>
        <v>0</v>
      </c>
      <c r="J50" s="72">
        <f t="shared" ref="J50:J60" si="98">IFERROR(H50*EFres*(1/365)*EDres*ETres*(1/24)*GSFa,".")</f>
        <v>0</v>
      </c>
      <c r="K50" s="71">
        <f>IFERROR(I50*isospec!$B16,".")</f>
        <v>0</v>
      </c>
      <c r="L50" s="73">
        <f>IFERROR(J50*isospec!$C16,".")</f>
        <v>0</v>
      </c>
      <c r="M50" s="74">
        <f t="shared" ref="M50:M60" si="99">SUM(K50:L50)</f>
        <v>0</v>
      </c>
      <c r="N50" s="70">
        <f>N$48*Aeq_Feq!$B16</f>
        <v>0</v>
      </c>
      <c r="O50" s="71">
        <f t="shared" ref="O50:O60" si="100">IFERROR(N50*IFAres_adj,".")</f>
        <v>0</v>
      </c>
      <c r="P50" s="72">
        <f t="shared" ref="P50:P60" si="101">IFERROR(N50*EFres*(1/365)*EDres*ETres*(1/24)*GSFa,".")</f>
        <v>0</v>
      </c>
      <c r="Q50" s="71">
        <f>O50*isospec!$B16</f>
        <v>0</v>
      </c>
      <c r="R50" s="73">
        <f>P50*isospec!$C16</f>
        <v>0</v>
      </c>
      <c r="S50" s="74">
        <f t="shared" ref="S50:S60" si="102">SUM(Q50:R50)</f>
        <v>0</v>
      </c>
      <c r="T50" s="70">
        <f>T$48*Aeq_Feq!$C16</f>
        <v>0</v>
      </c>
      <c r="U50" s="71">
        <f t="shared" ref="U50:U60" si="103">IFERROR(T50*EFw*EDw*ETw*(1/24)*IRAw,".")</f>
        <v>0</v>
      </c>
      <c r="V50" s="72">
        <f t="shared" ref="V50:V60" si="104">IFERROR(T50*EFw*(1/365)*EDw*ETw*(1/24)*GSFa,".")</f>
        <v>0</v>
      </c>
      <c r="W50" s="71">
        <f>U50*isospec!$B16</f>
        <v>0</v>
      </c>
      <c r="X50" s="73">
        <f>V50*isospec!$C16</f>
        <v>0</v>
      </c>
      <c r="Y50" s="74">
        <f t="shared" ref="Y50:Y60" si="105">SUM(W50:X50)</f>
        <v>0</v>
      </c>
      <c r="Z50" s="70">
        <f>Z$48*Aeq_Feq!$C16</f>
        <v>0</v>
      </c>
      <c r="AA50" s="71">
        <f t="shared" ref="AA50:AA60" si="106">IFERROR(Z50*EFw*EDw*ETw*(1/24)*IRAw,".")</f>
        <v>0</v>
      </c>
      <c r="AB50" s="72">
        <f t="shared" ref="AB50:AB60" si="107">IFERROR(Z50*EFw*(1/365)*EDw*ETw*(1/24)*GSFa,".")</f>
        <v>0</v>
      </c>
      <c r="AC50" s="71">
        <f>IFERROR(AA50*isospec!$B16,".")</f>
        <v>0</v>
      </c>
      <c r="AD50" s="73">
        <f>IFERROR(AB50*isospec!$C16,".")</f>
        <v>0</v>
      </c>
      <c r="AE50" s="74">
        <f t="shared" ref="AE50:AE60" si="108">SUM(AC50:AD50)</f>
        <v>0</v>
      </c>
      <c r="AF50" s="70">
        <f>AF$48*Aeq_Feq!$C16</f>
        <v>0</v>
      </c>
      <c r="AG50" s="71">
        <f t="shared" ref="AG50:AG60" si="109">IFERROR(AF50*EFw*EDw*ETw*(1/24)*IRAw,".")</f>
        <v>0</v>
      </c>
      <c r="AH50" s="72">
        <f t="shared" ref="AH50:AH60" si="110">IFERROR(AF50*EFw*(1/365)*EDw*ETw*(1/24)*GSFa,".")</f>
        <v>0</v>
      </c>
      <c r="AI50" s="71">
        <f>AG50*isospec!$B16</f>
        <v>0</v>
      </c>
      <c r="AJ50" s="73">
        <f>AH50*isospec!$C16</f>
        <v>0</v>
      </c>
      <c r="AK50" s="74">
        <f t="shared" ref="AK50:AK60" si="111">SUM(AI50:AJ50)</f>
        <v>0</v>
      </c>
    </row>
    <row r="51" spans="1:37" x14ac:dyDescent="0.25">
      <c r="A51" s="23" t="str">
        <f>isospec!A17</f>
        <v>Rn-222~Bi-214</v>
      </c>
      <c r="B51" s="70">
        <f>B$48*Aeq_Feq!$B17</f>
        <v>4069.9999999999995</v>
      </c>
      <c r="C51" s="71">
        <f t="shared" si="92"/>
        <v>655269999.99999988</v>
      </c>
      <c r="D51" s="72">
        <f t="shared" si="78"/>
        <v>101471.2328767123</v>
      </c>
      <c r="E51" s="71">
        <f>C51*isospec!$B17</f>
        <v>4.0495685999999989E-2</v>
      </c>
      <c r="F51" s="73">
        <f>D51*isospec!$C17</f>
        <v>6.788425479452053E-4</v>
      </c>
      <c r="G51" s="74">
        <f t="shared" si="96"/>
        <v>4.1174528547945191E-2</v>
      </c>
      <c r="H51" s="70">
        <f>H$48*Aeq_Feq!$B17</f>
        <v>17.635463379035638</v>
      </c>
      <c r="I51" s="71">
        <f t="shared" si="97"/>
        <v>2839309.6040247376</v>
      </c>
      <c r="J51" s="72">
        <f t="shared" si="98"/>
        <v>439.67867602527201</v>
      </c>
      <c r="K51" s="71">
        <f>IFERROR(I51*isospec!$B17,".")</f>
        <v>1.7546933352872876E-4</v>
      </c>
      <c r="L51" s="73">
        <f>IFERROR(J51*isospec!$C17,".")</f>
        <v>2.9414503426090698E-6</v>
      </c>
      <c r="M51" s="74">
        <f t="shared" si="99"/>
        <v>1.7841078387133784E-4</v>
      </c>
      <c r="N51" s="70">
        <f>N$48*Aeq_Feq!$B17</f>
        <v>0.12209999999999999</v>
      </c>
      <c r="O51" s="71">
        <f t="shared" si="100"/>
        <v>19658.099999999999</v>
      </c>
      <c r="P51" s="72">
        <f t="shared" si="101"/>
        <v>3.0441369863013694</v>
      </c>
      <c r="Q51" s="71">
        <f>O51*isospec!$B17</f>
        <v>1.2148705799999998E-6</v>
      </c>
      <c r="R51" s="73">
        <f>P51*isospec!$C17</f>
        <v>2.0365276438356159E-8</v>
      </c>
      <c r="S51" s="74">
        <f t="shared" si="102"/>
        <v>1.235235856438356E-6</v>
      </c>
      <c r="T51" s="70">
        <f>T$48*Aeq_Feq!$C17</f>
        <v>2680</v>
      </c>
      <c r="U51" s="71">
        <f t="shared" si="103"/>
        <v>335000000</v>
      </c>
      <c r="V51" s="72">
        <f t="shared" si="104"/>
        <v>15296.803652968036</v>
      </c>
      <c r="W51" s="71">
        <f>U51*isospec!$B17</f>
        <v>2.0702999999999999E-2</v>
      </c>
      <c r="X51" s="73">
        <f>V51*isospec!$C17</f>
        <v>1.0233561643835616E-4</v>
      </c>
      <c r="Y51" s="74">
        <f t="shared" si="105"/>
        <v>2.0805335616438356E-2</v>
      </c>
      <c r="Z51" s="70">
        <f>Z$48*Aeq_Feq!$C17</f>
        <v>11.61254099651487</v>
      </c>
      <c r="AA51" s="71">
        <f t="shared" si="106"/>
        <v>1451567.6245643587</v>
      </c>
      <c r="AB51" s="72">
        <f t="shared" si="107"/>
        <v>66.281626692436475</v>
      </c>
      <c r="AC51" s="71">
        <f>IFERROR(AA51*isospec!$B17,".")</f>
        <v>8.9706879198077363E-5</v>
      </c>
      <c r="AD51" s="73">
        <f>IFERROR(AB51*isospec!$C17,".")</f>
        <v>4.434240825724E-7</v>
      </c>
      <c r="AE51" s="74">
        <f t="shared" si="108"/>
        <v>9.0150303280649762E-5</v>
      </c>
      <c r="AF51" s="70">
        <f>AF$48*Aeq_Feq!$C17</f>
        <v>8.0399999999999999E-2</v>
      </c>
      <c r="AG51" s="71">
        <f t="shared" si="109"/>
        <v>10050</v>
      </c>
      <c r="AH51" s="72">
        <f t="shared" si="110"/>
        <v>0.45890410958904104</v>
      </c>
      <c r="AI51" s="71">
        <f>AG51*isospec!$B17</f>
        <v>6.2109000000000001E-7</v>
      </c>
      <c r="AJ51" s="73">
        <f>AH51*isospec!$C17</f>
        <v>3.0700684931506847E-9</v>
      </c>
      <c r="AK51" s="74">
        <f t="shared" si="111"/>
        <v>6.2416006849315072E-7</v>
      </c>
    </row>
    <row r="52" spans="1:37" x14ac:dyDescent="0.25">
      <c r="A52" s="23" t="str">
        <f>isospec!A18</f>
        <v>Rn-222~Hg-206</v>
      </c>
      <c r="B52" s="70">
        <f>B$48*Aeq_Feq!$B18</f>
        <v>0</v>
      </c>
      <c r="C52" s="71">
        <f t="shared" si="92"/>
        <v>0</v>
      </c>
      <c r="D52" s="72">
        <f t="shared" si="78"/>
        <v>0</v>
      </c>
      <c r="E52" s="71">
        <f>C52*isospec!$B18</f>
        <v>0</v>
      </c>
      <c r="F52" s="73">
        <f>D52*isospec!$C18</f>
        <v>0</v>
      </c>
      <c r="G52" s="74">
        <f t="shared" si="96"/>
        <v>0</v>
      </c>
      <c r="H52" s="70">
        <f>H$48*Aeq_Feq!$B18</f>
        <v>0</v>
      </c>
      <c r="I52" s="71">
        <f t="shared" si="97"/>
        <v>0</v>
      </c>
      <c r="J52" s="72">
        <f t="shared" si="98"/>
        <v>0</v>
      </c>
      <c r="K52" s="71">
        <f>IFERROR(I52*isospec!$B18,".")</f>
        <v>0</v>
      </c>
      <c r="L52" s="73">
        <f>IFERROR(J52*isospec!$C18,".")</f>
        <v>0</v>
      </c>
      <c r="M52" s="74">
        <f t="shared" si="99"/>
        <v>0</v>
      </c>
      <c r="N52" s="70">
        <f>N$48*Aeq_Feq!$B18</f>
        <v>0</v>
      </c>
      <c r="O52" s="71">
        <f t="shared" si="100"/>
        <v>0</v>
      </c>
      <c r="P52" s="72">
        <f t="shared" si="101"/>
        <v>0</v>
      </c>
      <c r="Q52" s="71">
        <f>O52*isospec!$B18</f>
        <v>0</v>
      </c>
      <c r="R52" s="73">
        <f>P52*isospec!$C18</f>
        <v>0</v>
      </c>
      <c r="S52" s="74">
        <f t="shared" si="102"/>
        <v>0</v>
      </c>
      <c r="T52" s="70">
        <f>T$48*Aeq_Feq!$C18</f>
        <v>0</v>
      </c>
      <c r="U52" s="71">
        <f t="shared" si="103"/>
        <v>0</v>
      </c>
      <c r="V52" s="72">
        <f t="shared" si="104"/>
        <v>0</v>
      </c>
      <c r="W52" s="71">
        <f>U52*isospec!$B18</f>
        <v>0</v>
      </c>
      <c r="X52" s="73">
        <f>V52*isospec!$C18</f>
        <v>0</v>
      </c>
      <c r="Y52" s="74">
        <f t="shared" si="105"/>
        <v>0</v>
      </c>
      <c r="Z52" s="70">
        <f>Z$48*Aeq_Feq!$C18</f>
        <v>0</v>
      </c>
      <c r="AA52" s="71">
        <f t="shared" si="106"/>
        <v>0</v>
      </c>
      <c r="AB52" s="72">
        <f t="shared" si="107"/>
        <v>0</v>
      </c>
      <c r="AC52" s="71">
        <f>IFERROR(AA52*isospec!$B18,".")</f>
        <v>0</v>
      </c>
      <c r="AD52" s="73">
        <f>IFERROR(AB52*isospec!$C18,".")</f>
        <v>0</v>
      </c>
      <c r="AE52" s="74">
        <f t="shared" si="108"/>
        <v>0</v>
      </c>
      <c r="AF52" s="70">
        <f>AF$48*Aeq_Feq!$C18</f>
        <v>0</v>
      </c>
      <c r="AG52" s="71">
        <f t="shared" si="109"/>
        <v>0</v>
      </c>
      <c r="AH52" s="72">
        <f t="shared" si="110"/>
        <v>0</v>
      </c>
      <c r="AI52" s="71">
        <f>AG52*isospec!$B18</f>
        <v>0</v>
      </c>
      <c r="AJ52" s="73">
        <f>AH52*isospec!$C18</f>
        <v>0</v>
      </c>
      <c r="AK52" s="74">
        <f t="shared" si="111"/>
        <v>0</v>
      </c>
    </row>
    <row r="53" spans="1:37" x14ac:dyDescent="0.25">
      <c r="A53" s="23" t="str">
        <f>isospec!A19</f>
        <v>Rn-222~Pb-210</v>
      </c>
      <c r="B53" s="70">
        <f>B$48*Aeq_Feq!$B19</f>
        <v>0</v>
      </c>
      <c r="C53" s="71">
        <f t="shared" si="92"/>
        <v>0</v>
      </c>
      <c r="D53" s="72">
        <f t="shared" si="78"/>
        <v>0</v>
      </c>
      <c r="E53" s="71">
        <f>C53*isospec!$B19</f>
        <v>0</v>
      </c>
      <c r="F53" s="73">
        <f>D53*isospec!$C19</f>
        <v>0</v>
      </c>
      <c r="G53" s="74">
        <f t="shared" si="96"/>
        <v>0</v>
      </c>
      <c r="H53" s="70">
        <f>H$48*Aeq_Feq!$B19</f>
        <v>0</v>
      </c>
      <c r="I53" s="71">
        <f t="shared" si="97"/>
        <v>0</v>
      </c>
      <c r="J53" s="72">
        <f t="shared" si="98"/>
        <v>0</v>
      </c>
      <c r="K53" s="71">
        <f>IFERROR(I53*isospec!$B19,".")</f>
        <v>0</v>
      </c>
      <c r="L53" s="73">
        <f>IFERROR(J53*isospec!$C19,".")</f>
        <v>0</v>
      </c>
      <c r="M53" s="74">
        <f t="shared" si="99"/>
        <v>0</v>
      </c>
      <c r="N53" s="70">
        <f>N$48*Aeq_Feq!$B19</f>
        <v>0</v>
      </c>
      <c r="O53" s="71">
        <f t="shared" si="100"/>
        <v>0</v>
      </c>
      <c r="P53" s="72">
        <f t="shared" si="101"/>
        <v>0</v>
      </c>
      <c r="Q53" s="71">
        <f>O53*isospec!$B19</f>
        <v>0</v>
      </c>
      <c r="R53" s="73">
        <f>P53*isospec!$C19</f>
        <v>0</v>
      </c>
      <c r="S53" s="74">
        <f t="shared" si="102"/>
        <v>0</v>
      </c>
      <c r="T53" s="70">
        <f>T$48*Aeq_Feq!$C19</f>
        <v>0</v>
      </c>
      <c r="U53" s="71">
        <f t="shared" si="103"/>
        <v>0</v>
      </c>
      <c r="V53" s="72">
        <f t="shared" si="104"/>
        <v>0</v>
      </c>
      <c r="W53" s="71">
        <f>U53*isospec!$B19</f>
        <v>0</v>
      </c>
      <c r="X53" s="73">
        <f>V53*isospec!$C19</f>
        <v>0</v>
      </c>
      <c r="Y53" s="74">
        <f t="shared" si="105"/>
        <v>0</v>
      </c>
      <c r="Z53" s="70">
        <f>Z$48*Aeq_Feq!$C19</f>
        <v>0</v>
      </c>
      <c r="AA53" s="71">
        <f t="shared" si="106"/>
        <v>0</v>
      </c>
      <c r="AB53" s="72">
        <f t="shared" si="107"/>
        <v>0</v>
      </c>
      <c r="AC53" s="71">
        <f>IFERROR(AA53*isospec!$B19,".")</f>
        <v>0</v>
      </c>
      <c r="AD53" s="73">
        <f>IFERROR(AB53*isospec!$C19,".")</f>
        <v>0</v>
      </c>
      <c r="AE53" s="74">
        <f t="shared" si="108"/>
        <v>0</v>
      </c>
      <c r="AF53" s="70">
        <f>AF$48*Aeq_Feq!$C19</f>
        <v>0</v>
      </c>
      <c r="AG53" s="71">
        <f t="shared" si="109"/>
        <v>0</v>
      </c>
      <c r="AH53" s="72">
        <f t="shared" si="110"/>
        <v>0</v>
      </c>
      <c r="AI53" s="71">
        <f>AG53*isospec!$B19</f>
        <v>0</v>
      </c>
      <c r="AJ53" s="73">
        <f>AH53*isospec!$C19</f>
        <v>0</v>
      </c>
      <c r="AK53" s="74">
        <f t="shared" si="111"/>
        <v>0</v>
      </c>
    </row>
    <row r="54" spans="1:37" x14ac:dyDescent="0.25">
      <c r="A54" s="23" t="str">
        <f>isospec!A20</f>
        <v>Rn-222~Pb-214</v>
      </c>
      <c r="B54" s="70">
        <f>B$48*Aeq_Feq!$B20</f>
        <v>4420</v>
      </c>
      <c r="C54" s="71">
        <f t="shared" si="92"/>
        <v>711620000</v>
      </c>
      <c r="D54" s="72">
        <f t="shared" si="78"/>
        <v>110197.2602739726</v>
      </c>
      <c r="E54" s="71">
        <f>C54*isospec!$B20</f>
        <v>5.5292873999999999E-2</v>
      </c>
      <c r="F54" s="73">
        <f>D54*isospec!$C20</f>
        <v>1.1240120547945205E-4</v>
      </c>
      <c r="G54" s="74">
        <f t="shared" si="96"/>
        <v>5.540527520547945E-2</v>
      </c>
      <c r="H54" s="70">
        <f>H$48*Aeq_Feq!$B20</f>
        <v>19.152026568878998</v>
      </c>
      <c r="I54" s="71">
        <f t="shared" si="97"/>
        <v>3083476.2775895186</v>
      </c>
      <c r="J54" s="72">
        <f t="shared" si="98"/>
        <v>477.48888158027091</v>
      </c>
      <c r="K54" s="71">
        <f>IFERROR(I54*isospec!$B20,".")</f>
        <v>2.395861067687056E-4</v>
      </c>
      <c r="L54" s="73">
        <f>IFERROR(J54*isospec!$C20,".")</f>
        <v>4.870386592118763E-7</v>
      </c>
      <c r="M54" s="74">
        <f t="shared" si="99"/>
        <v>2.4007314542791747E-4</v>
      </c>
      <c r="N54" s="70">
        <f>N$48*Aeq_Feq!$B20</f>
        <v>0.1326</v>
      </c>
      <c r="O54" s="71">
        <f t="shared" si="100"/>
        <v>21348.6</v>
      </c>
      <c r="P54" s="72">
        <f t="shared" si="101"/>
        <v>3.3059178082191778</v>
      </c>
      <c r="Q54" s="71">
        <f>O54*isospec!$B20</f>
        <v>1.6587862199999999E-6</v>
      </c>
      <c r="R54" s="73">
        <f>P54*isospec!$C20</f>
        <v>3.3720361643835615E-9</v>
      </c>
      <c r="S54" s="74">
        <f t="shared" si="102"/>
        <v>1.6621582561643834E-6</v>
      </c>
      <c r="T54" s="70">
        <f>T$48*Aeq_Feq!$C20</f>
        <v>3449.9999999999995</v>
      </c>
      <c r="U54" s="71">
        <f t="shared" si="103"/>
        <v>431249999.99999988</v>
      </c>
      <c r="V54" s="72">
        <f t="shared" si="104"/>
        <v>19691.780821917804</v>
      </c>
      <c r="W54" s="71">
        <f>U54*isospec!$B20</f>
        <v>3.3508124999999993E-2</v>
      </c>
      <c r="X54" s="73">
        <f>V54*isospec!$C20</f>
        <v>2.0085616438356159E-5</v>
      </c>
      <c r="Y54" s="74">
        <f t="shared" si="105"/>
        <v>3.3528210616438348E-2</v>
      </c>
      <c r="Z54" s="70">
        <f>Z$48*Aeq_Feq!$C20</f>
        <v>14.948980014170258</v>
      </c>
      <c r="AA54" s="71">
        <f t="shared" si="106"/>
        <v>1868622.5017712822</v>
      </c>
      <c r="AB54" s="72">
        <f t="shared" si="107"/>
        <v>85.325228391382737</v>
      </c>
      <c r="AC54" s="71">
        <f>IFERROR(AA54*isospec!$B20,".")</f>
        <v>1.4519196838762863E-4</v>
      </c>
      <c r="AD54" s="73">
        <f>IFERROR(AB54*isospec!$C20,".")</f>
        <v>8.7031732959210393E-8</v>
      </c>
      <c r="AE54" s="74">
        <f t="shared" si="108"/>
        <v>1.4527900012058784E-4</v>
      </c>
      <c r="AF54" s="70">
        <f>AF$48*Aeq_Feq!$C20</f>
        <v>0.10349999999999999</v>
      </c>
      <c r="AG54" s="71">
        <f t="shared" si="109"/>
        <v>12937.5</v>
      </c>
      <c r="AH54" s="72">
        <f t="shared" si="110"/>
        <v>0.59075342465753422</v>
      </c>
      <c r="AI54" s="71">
        <f>AG54*isospec!$B20</f>
        <v>1.00524375E-6</v>
      </c>
      <c r="AJ54" s="73">
        <f>AH54*isospec!$C20</f>
        <v>6.0256849315068485E-10</v>
      </c>
      <c r="AK54" s="74">
        <f t="shared" si="111"/>
        <v>1.0058463184931507E-6</v>
      </c>
    </row>
    <row r="55" spans="1:37" x14ac:dyDescent="0.25">
      <c r="A55" s="23" t="str">
        <f>isospec!A21</f>
        <v>Rn-222~Po-210</v>
      </c>
      <c r="B55" s="70">
        <f>B$48*Aeq_Feq!$B21</f>
        <v>0</v>
      </c>
      <c r="C55" s="71">
        <f t="shared" si="92"/>
        <v>0</v>
      </c>
      <c r="D55" s="72">
        <f t="shared" si="78"/>
        <v>0</v>
      </c>
      <c r="E55" s="71">
        <f>C55*isospec!$B21</f>
        <v>0</v>
      </c>
      <c r="F55" s="73">
        <f>D55*isospec!$C21</f>
        <v>0</v>
      </c>
      <c r="G55" s="74">
        <f t="shared" si="96"/>
        <v>0</v>
      </c>
      <c r="H55" s="70">
        <f>H$48*Aeq_Feq!$B21</f>
        <v>0</v>
      </c>
      <c r="I55" s="71">
        <f t="shared" si="97"/>
        <v>0</v>
      </c>
      <c r="J55" s="72">
        <f t="shared" si="98"/>
        <v>0</v>
      </c>
      <c r="K55" s="71">
        <f>IFERROR(I55*isospec!$B21,".")</f>
        <v>0</v>
      </c>
      <c r="L55" s="73">
        <f>IFERROR(J55*isospec!$C21,".")</f>
        <v>0</v>
      </c>
      <c r="M55" s="74">
        <f t="shared" si="99"/>
        <v>0</v>
      </c>
      <c r="N55" s="70">
        <f>N$48*Aeq_Feq!$B21</f>
        <v>0</v>
      </c>
      <c r="O55" s="71">
        <f t="shared" si="100"/>
        <v>0</v>
      </c>
      <c r="P55" s="72">
        <f t="shared" si="101"/>
        <v>0</v>
      </c>
      <c r="Q55" s="71">
        <f>O55*isospec!$B21</f>
        <v>0</v>
      </c>
      <c r="R55" s="73">
        <f>P55*isospec!$C21</f>
        <v>0</v>
      </c>
      <c r="S55" s="74">
        <f t="shared" si="102"/>
        <v>0</v>
      </c>
      <c r="T55" s="70">
        <f>T$48*Aeq_Feq!$C21</f>
        <v>0</v>
      </c>
      <c r="U55" s="71">
        <f t="shared" si="103"/>
        <v>0</v>
      </c>
      <c r="V55" s="72">
        <f t="shared" si="104"/>
        <v>0</v>
      </c>
      <c r="W55" s="71">
        <f>U55*isospec!$B21</f>
        <v>0</v>
      </c>
      <c r="X55" s="73">
        <f>V55*isospec!$C21</f>
        <v>0</v>
      </c>
      <c r="Y55" s="74">
        <f t="shared" si="105"/>
        <v>0</v>
      </c>
      <c r="Z55" s="70">
        <f>Z$48*Aeq_Feq!$C21</f>
        <v>0</v>
      </c>
      <c r="AA55" s="71">
        <f t="shared" si="106"/>
        <v>0</v>
      </c>
      <c r="AB55" s="72">
        <f t="shared" si="107"/>
        <v>0</v>
      </c>
      <c r="AC55" s="71">
        <f>IFERROR(AA55*isospec!$B21,".")</f>
        <v>0</v>
      </c>
      <c r="AD55" s="73">
        <f>IFERROR(AB55*isospec!$C21,".")</f>
        <v>0</v>
      </c>
      <c r="AE55" s="74">
        <f t="shared" si="108"/>
        <v>0</v>
      </c>
      <c r="AF55" s="70">
        <f>AF$48*Aeq_Feq!$C21</f>
        <v>0</v>
      </c>
      <c r="AG55" s="71">
        <f t="shared" si="109"/>
        <v>0</v>
      </c>
      <c r="AH55" s="72">
        <f t="shared" si="110"/>
        <v>0</v>
      </c>
      <c r="AI55" s="71">
        <f>AG55*isospec!$B21</f>
        <v>0</v>
      </c>
      <c r="AJ55" s="73">
        <f>AH55*isospec!$C21</f>
        <v>0</v>
      </c>
      <c r="AK55" s="74">
        <f t="shared" si="111"/>
        <v>0</v>
      </c>
    </row>
    <row r="56" spans="1:37" x14ac:dyDescent="0.25">
      <c r="A56" s="23" t="str">
        <f>isospec!A22</f>
        <v>Rn-222~Po-214</v>
      </c>
      <c r="B56" s="70">
        <f>B$48*Aeq_Feq!$B22</f>
        <v>4069.9999999999995</v>
      </c>
      <c r="C56" s="71">
        <f t="shared" si="92"/>
        <v>655269999.99999988</v>
      </c>
      <c r="D56" s="72">
        <f t="shared" si="78"/>
        <v>101471.2328767123</v>
      </c>
      <c r="E56" s="71">
        <f>C56*isospec!$B22</f>
        <v>0</v>
      </c>
      <c r="F56" s="73">
        <f>D56*isospec!$C22</f>
        <v>3.6225230136986287E-8</v>
      </c>
      <c r="G56" s="74">
        <f t="shared" si="96"/>
        <v>3.6225230136986287E-8</v>
      </c>
      <c r="H56" s="70">
        <f>H$48*Aeq_Feq!$B22</f>
        <v>17.635463379035638</v>
      </c>
      <c r="I56" s="71">
        <f t="shared" si="97"/>
        <v>2839309.6040247376</v>
      </c>
      <c r="J56" s="72">
        <f t="shared" si="98"/>
        <v>439.67867602527201</v>
      </c>
      <c r="K56" s="71">
        <f>IFERROR(I56*isospec!$B22,".")</f>
        <v>0</v>
      </c>
      <c r="L56" s="73">
        <f>IFERROR(J56*isospec!$C22,".")</f>
        <v>1.5696528734102211E-10</v>
      </c>
      <c r="M56" s="74">
        <f t="shared" si="99"/>
        <v>1.5696528734102211E-10</v>
      </c>
      <c r="N56" s="70">
        <f>N$48*Aeq_Feq!$B22</f>
        <v>0.12209999999999999</v>
      </c>
      <c r="O56" s="71">
        <f t="shared" si="100"/>
        <v>19658.099999999999</v>
      </c>
      <c r="P56" s="72">
        <f t="shared" si="101"/>
        <v>3.0441369863013694</v>
      </c>
      <c r="Q56" s="71">
        <f>O56*isospec!$B22</f>
        <v>0</v>
      </c>
      <c r="R56" s="73">
        <f>P56*isospec!$C22</f>
        <v>1.0867569041095889E-12</v>
      </c>
      <c r="S56" s="74">
        <f t="shared" si="102"/>
        <v>1.0867569041095889E-12</v>
      </c>
      <c r="T56" s="70">
        <f>T$48*Aeq_Feq!$C22</f>
        <v>2680</v>
      </c>
      <c r="U56" s="71">
        <f t="shared" si="103"/>
        <v>335000000</v>
      </c>
      <c r="V56" s="72">
        <f t="shared" si="104"/>
        <v>15296.803652968036</v>
      </c>
      <c r="W56" s="71">
        <f>U56*isospec!$B22</f>
        <v>0</v>
      </c>
      <c r="X56" s="73">
        <f>V56*isospec!$C22</f>
        <v>5.460958904109589E-9</v>
      </c>
      <c r="Y56" s="74">
        <f t="shared" si="105"/>
        <v>5.460958904109589E-9</v>
      </c>
      <c r="Z56" s="70">
        <f>Z$48*Aeq_Feq!$C22</f>
        <v>11.61254099651487</v>
      </c>
      <c r="AA56" s="71">
        <f t="shared" si="106"/>
        <v>1451567.6245643587</v>
      </c>
      <c r="AB56" s="72">
        <f t="shared" si="107"/>
        <v>66.281626692436475</v>
      </c>
      <c r="AC56" s="71">
        <f>IFERROR(AA56*isospec!$B22,".")</f>
        <v>0</v>
      </c>
      <c r="AD56" s="73">
        <f>IFERROR(AB56*isospec!$C22,".")</f>
        <v>2.366254072919982E-11</v>
      </c>
      <c r="AE56" s="74">
        <f t="shared" si="108"/>
        <v>2.366254072919982E-11</v>
      </c>
      <c r="AF56" s="70">
        <f>AF$48*Aeq_Feq!$C22</f>
        <v>8.0399999999999999E-2</v>
      </c>
      <c r="AG56" s="71">
        <f t="shared" si="109"/>
        <v>10050</v>
      </c>
      <c r="AH56" s="72">
        <f t="shared" si="110"/>
        <v>0.45890410958904104</v>
      </c>
      <c r="AI56" s="71">
        <f>AG56*isospec!$B22</f>
        <v>0</v>
      </c>
      <c r="AJ56" s="73">
        <f>AH56*isospec!$C22</f>
        <v>1.6382876712328765E-13</v>
      </c>
      <c r="AK56" s="74">
        <f t="shared" si="111"/>
        <v>1.6382876712328765E-13</v>
      </c>
    </row>
    <row r="57" spans="1:37" x14ac:dyDescent="0.25">
      <c r="A57" s="23" t="str">
        <f>isospec!A23</f>
        <v>Rn-222~Po-218</v>
      </c>
      <c r="B57" s="70">
        <f>B$48*Aeq_Feq!$B23</f>
        <v>4935</v>
      </c>
      <c r="C57" s="71">
        <f t="shared" si="92"/>
        <v>794535000</v>
      </c>
      <c r="D57" s="72">
        <f t="shared" si="78"/>
        <v>123036.98630136986</v>
      </c>
      <c r="E57" s="71">
        <f>C57*isospec!$B23</f>
        <v>1.10440365E-2</v>
      </c>
      <c r="F57" s="73">
        <f>D57*isospec!$C23</f>
        <v>4.8599609589041097E-12</v>
      </c>
      <c r="G57" s="74">
        <f t="shared" si="96"/>
        <v>1.1044036504859961E-2</v>
      </c>
      <c r="H57" s="70">
        <f>H$48*Aeq_Feq!$B23</f>
        <v>21.383540976791373</v>
      </c>
      <c r="I57" s="71">
        <f t="shared" si="97"/>
        <v>3442750.0972634112</v>
      </c>
      <c r="J57" s="72">
        <f t="shared" si="98"/>
        <v>533.12389832548365</v>
      </c>
      <c r="K57" s="71">
        <f>IFERROR(I57*isospec!$B23,".")</f>
        <v>4.7854226351961418E-5</v>
      </c>
      <c r="L57" s="73">
        <f>IFERROR(J57*isospec!$C23,".")</f>
        <v>2.1058393983856605E-14</v>
      </c>
      <c r="M57" s="74">
        <f t="shared" si="99"/>
        <v>4.7854226373019809E-5</v>
      </c>
      <c r="N57" s="70">
        <f>N$48*Aeq_Feq!$B23</f>
        <v>0.14804999999999999</v>
      </c>
      <c r="O57" s="71">
        <f t="shared" si="100"/>
        <v>23836.05</v>
      </c>
      <c r="P57" s="72">
        <f t="shared" si="101"/>
        <v>3.6911095890410959</v>
      </c>
      <c r="Q57" s="71">
        <f>O57*isospec!$B23</f>
        <v>3.3132109499999998E-7</v>
      </c>
      <c r="R57" s="73">
        <f>P57*isospec!$C23</f>
        <v>1.457988287671233E-16</v>
      </c>
      <c r="S57" s="74">
        <f t="shared" si="102"/>
        <v>3.3132109514579881E-7</v>
      </c>
      <c r="T57" s="70">
        <f>T$48*Aeq_Feq!$C23</f>
        <v>4785</v>
      </c>
      <c r="U57" s="71">
        <f t="shared" si="103"/>
        <v>598125000</v>
      </c>
      <c r="V57" s="72">
        <f t="shared" si="104"/>
        <v>27311.643835616436</v>
      </c>
      <c r="W57" s="71">
        <f>U57*isospec!$B23</f>
        <v>8.3139375000000001E-3</v>
      </c>
      <c r="X57" s="73">
        <f>V57*isospec!$C23</f>
        <v>1.0788099315068492E-12</v>
      </c>
      <c r="Y57" s="74">
        <f t="shared" si="105"/>
        <v>8.3139375010788108E-3</v>
      </c>
      <c r="Z57" s="70">
        <f>Z$48*Aeq_Feq!$C23</f>
        <v>20.733585324001361</v>
      </c>
      <c r="AA57" s="71">
        <f t="shared" si="106"/>
        <v>2591698.1655001701</v>
      </c>
      <c r="AB57" s="72">
        <f t="shared" si="107"/>
        <v>118.34238198630914</v>
      </c>
      <c r="AC57" s="71">
        <f>IFERROR(AA57*isospec!$B23,".")</f>
        <v>3.6024604500452366E-5</v>
      </c>
      <c r="AD57" s="73">
        <f>IFERROR(AB57*isospec!$C23,".")</f>
        <v>4.6745240884592112E-15</v>
      </c>
      <c r="AE57" s="74">
        <f t="shared" si="108"/>
        <v>3.602460450512689E-5</v>
      </c>
      <c r="AF57" s="70">
        <f>AF$48*Aeq_Feq!$C23</f>
        <v>0.14354999999999998</v>
      </c>
      <c r="AG57" s="71">
        <f t="shared" si="109"/>
        <v>17943.749999999996</v>
      </c>
      <c r="AH57" s="72">
        <f t="shared" si="110"/>
        <v>0.81934931506849307</v>
      </c>
      <c r="AI57" s="71">
        <f>AG57*isospec!$B23</f>
        <v>2.4941812499999994E-7</v>
      </c>
      <c r="AJ57" s="73">
        <f>AH57*isospec!$C23</f>
        <v>3.2364297945205479E-17</v>
      </c>
      <c r="AK57" s="74">
        <f t="shared" si="111"/>
        <v>2.4941812503236422E-7</v>
      </c>
    </row>
    <row r="58" spans="1:37" x14ac:dyDescent="0.25">
      <c r="A58" s="23" t="str">
        <f>isospec!A24</f>
        <v>Rn-222~Rn-218</v>
      </c>
      <c r="B58" s="70">
        <f>B$48*Aeq_Feq!$B24</f>
        <v>9.8499999999999998E-4</v>
      </c>
      <c r="C58" s="71">
        <f t="shared" si="92"/>
        <v>158.58500000000001</v>
      </c>
      <c r="D58" s="72">
        <f t="shared" si="78"/>
        <v>2.4557534246575342E-2</v>
      </c>
      <c r="E58" s="71">
        <f>C58*isospec!$B24</f>
        <v>0</v>
      </c>
      <c r="F58" s="73">
        <f>D58*isospec!$C24</f>
        <v>7.8338534246575335E-14</v>
      </c>
      <c r="G58" s="74">
        <f t="shared" si="96"/>
        <v>7.8338534246575335E-14</v>
      </c>
      <c r="H58" s="70">
        <f>H$48*Aeq_Feq!$B24</f>
        <v>4.2680421199877408E-6</v>
      </c>
      <c r="I58" s="71">
        <f t="shared" si="97"/>
        <v>0.68715478131802632</v>
      </c>
      <c r="J58" s="72">
        <f t="shared" si="98"/>
        <v>1.0640872134763957E-4</v>
      </c>
      <c r="K58" s="71">
        <f>IFERROR(I58*isospec!$B24,".")</f>
        <v>0</v>
      </c>
      <c r="L58" s="73">
        <f>IFERROR(J58*isospec!$C24,".")</f>
        <v>3.3944382109897021E-16</v>
      </c>
      <c r="M58" s="74">
        <f t="shared" si="99"/>
        <v>3.3944382109897021E-16</v>
      </c>
      <c r="N58" s="70">
        <f>N$48*Aeq_Feq!$B24</f>
        <v>2.955E-8</v>
      </c>
      <c r="O58" s="71">
        <f t="shared" si="100"/>
        <v>4.7575500000000001E-3</v>
      </c>
      <c r="P58" s="72">
        <f t="shared" si="101"/>
        <v>7.3672602739726009E-7</v>
      </c>
      <c r="Q58" s="71">
        <f>O58*isospec!$B24</f>
        <v>0</v>
      </c>
      <c r="R58" s="73">
        <f>P58*isospec!$C24</f>
        <v>2.3501560273972597E-18</v>
      </c>
      <c r="S58" s="74">
        <f t="shared" si="102"/>
        <v>2.3501560273972597E-18</v>
      </c>
      <c r="T58" s="70">
        <f>T$48*Aeq_Feq!$C24</f>
        <v>9.5500000000000001E-4</v>
      </c>
      <c r="U58" s="71">
        <f t="shared" si="103"/>
        <v>119.375</v>
      </c>
      <c r="V58" s="72">
        <f t="shared" si="104"/>
        <v>5.4509132420091314E-3</v>
      </c>
      <c r="W58" s="71">
        <f>U58*isospec!$B24</f>
        <v>0</v>
      </c>
      <c r="X58" s="73">
        <f>V58*isospec!$C24</f>
        <v>1.7388413242009128E-14</v>
      </c>
      <c r="Y58" s="74">
        <f t="shared" si="105"/>
        <v>1.7388413242009128E-14</v>
      </c>
      <c r="Z58" s="70">
        <f>Z$48*Aeq_Feq!$C24</f>
        <v>4.138050989429739E-6</v>
      </c>
      <c r="AA58" s="71">
        <f t="shared" si="106"/>
        <v>0.51725637367871735</v>
      </c>
      <c r="AB58" s="72">
        <f t="shared" si="107"/>
        <v>2.3619012496745089E-5</v>
      </c>
      <c r="AC58" s="71">
        <f>IFERROR(AA58*isospec!$B24,".")</f>
        <v>0</v>
      </c>
      <c r="AD58" s="73">
        <f>IFERROR(AB58*isospec!$C24,".")</f>
        <v>7.5344649864616834E-17</v>
      </c>
      <c r="AE58" s="74">
        <f t="shared" si="108"/>
        <v>7.5344649864616834E-17</v>
      </c>
      <c r="AF58" s="70">
        <f>AF$48*Aeq_Feq!$C24</f>
        <v>2.8649999999999998E-8</v>
      </c>
      <c r="AG58" s="71">
        <f t="shared" si="109"/>
        <v>3.5812499999999998E-3</v>
      </c>
      <c r="AH58" s="72">
        <f t="shared" si="110"/>
        <v>1.6352739726027394E-7</v>
      </c>
      <c r="AI58" s="71">
        <f>AG58*isospec!$B24</f>
        <v>0</v>
      </c>
      <c r="AJ58" s="73">
        <f>AH58*isospec!$C24</f>
        <v>5.2165239726027388E-19</v>
      </c>
      <c r="AK58" s="74">
        <f t="shared" si="111"/>
        <v>5.2165239726027388E-19</v>
      </c>
    </row>
    <row r="59" spans="1:37" x14ac:dyDescent="0.25">
      <c r="A59" s="23" t="str">
        <f>isospec!A25</f>
        <v>Rn-222~Tl-206</v>
      </c>
      <c r="B59" s="70">
        <f>B$48*Aeq_Feq!$B25</f>
        <v>0</v>
      </c>
      <c r="C59" s="71">
        <f t="shared" si="92"/>
        <v>0</v>
      </c>
      <c r="D59" s="72">
        <f t="shared" si="78"/>
        <v>0</v>
      </c>
      <c r="E59" s="71">
        <f>C59*isospec!$B25</f>
        <v>0</v>
      </c>
      <c r="F59" s="73">
        <f>D59*isospec!$C25</f>
        <v>0</v>
      </c>
      <c r="G59" s="74">
        <f t="shared" si="96"/>
        <v>0</v>
      </c>
      <c r="H59" s="70">
        <f>H$48*Aeq_Feq!$B25</f>
        <v>0</v>
      </c>
      <c r="I59" s="71">
        <f t="shared" si="97"/>
        <v>0</v>
      </c>
      <c r="J59" s="72">
        <f t="shared" si="98"/>
        <v>0</v>
      </c>
      <c r="K59" s="71">
        <f>IFERROR(I59*isospec!$B25,".")</f>
        <v>0</v>
      </c>
      <c r="L59" s="73">
        <f>IFERROR(J59*isospec!$C25,".")</f>
        <v>0</v>
      </c>
      <c r="M59" s="74">
        <f t="shared" si="99"/>
        <v>0</v>
      </c>
      <c r="N59" s="70">
        <f>N$48*Aeq_Feq!$B25</f>
        <v>0</v>
      </c>
      <c r="O59" s="71">
        <f t="shared" si="100"/>
        <v>0</v>
      </c>
      <c r="P59" s="72">
        <f t="shared" si="101"/>
        <v>0</v>
      </c>
      <c r="Q59" s="71">
        <f>O59*isospec!$B25</f>
        <v>0</v>
      </c>
      <c r="R59" s="73">
        <f>P59*isospec!$C25</f>
        <v>0</v>
      </c>
      <c r="S59" s="74">
        <f t="shared" si="102"/>
        <v>0</v>
      </c>
      <c r="T59" s="70">
        <f>T$48*Aeq_Feq!$C25</f>
        <v>0</v>
      </c>
      <c r="U59" s="71">
        <f t="shared" si="103"/>
        <v>0</v>
      </c>
      <c r="V59" s="72">
        <f t="shared" si="104"/>
        <v>0</v>
      </c>
      <c r="W59" s="71">
        <f>U59*isospec!$B25</f>
        <v>0</v>
      </c>
      <c r="X59" s="73">
        <f>V59*isospec!$C25</f>
        <v>0</v>
      </c>
      <c r="Y59" s="74">
        <f t="shared" si="105"/>
        <v>0</v>
      </c>
      <c r="Z59" s="70">
        <f>Z$48*Aeq_Feq!$C25</f>
        <v>0</v>
      </c>
      <c r="AA59" s="71">
        <f t="shared" si="106"/>
        <v>0</v>
      </c>
      <c r="AB59" s="72">
        <f t="shared" si="107"/>
        <v>0</v>
      </c>
      <c r="AC59" s="71">
        <f>IFERROR(AA59*isospec!$B25,".")</f>
        <v>0</v>
      </c>
      <c r="AD59" s="73">
        <f>IFERROR(AB59*isospec!$C25,".")</f>
        <v>0</v>
      </c>
      <c r="AE59" s="74">
        <f t="shared" si="108"/>
        <v>0</v>
      </c>
      <c r="AF59" s="70">
        <f>AF$48*Aeq_Feq!$C25</f>
        <v>0</v>
      </c>
      <c r="AG59" s="71">
        <f t="shared" si="109"/>
        <v>0</v>
      </c>
      <c r="AH59" s="72">
        <f t="shared" si="110"/>
        <v>0</v>
      </c>
      <c r="AI59" s="71">
        <f>AG59*isospec!$B25</f>
        <v>0</v>
      </c>
      <c r="AJ59" s="73">
        <f>AH59*isospec!$C25</f>
        <v>0</v>
      </c>
      <c r="AK59" s="74">
        <f t="shared" si="111"/>
        <v>0</v>
      </c>
    </row>
    <row r="60" spans="1:37" ht="15.75" thickBot="1" x14ac:dyDescent="0.3">
      <c r="A60" s="23" t="str">
        <f>isospec!A26</f>
        <v>Rn-222~Tl-210</v>
      </c>
      <c r="B60" s="79">
        <f>B$48*Aeq_Feq!$B26</f>
        <v>0.85000000000000009</v>
      </c>
      <c r="C60" s="80">
        <f t="shared" si="92"/>
        <v>136850</v>
      </c>
      <c r="D60" s="81">
        <f t="shared" si="78"/>
        <v>21.19178082191781</v>
      </c>
      <c r="E60" s="80">
        <f>C60*isospec!$B26</f>
        <v>0</v>
      </c>
      <c r="F60" s="82">
        <f>D60*isospec!$C26</f>
        <v>2.6277808219178086E-7</v>
      </c>
      <c r="G60" s="83">
        <f t="shared" si="96"/>
        <v>2.6277808219178086E-7</v>
      </c>
      <c r="H60" s="79">
        <f>H$48*Aeq_Feq!$B26</f>
        <v>3.6830820324767308E-3</v>
      </c>
      <c r="I60" s="80">
        <f t="shared" si="97"/>
        <v>592.97620722875365</v>
      </c>
      <c r="J60" s="81">
        <f t="shared" si="98"/>
        <v>9.1824784919282879E-2</v>
      </c>
      <c r="K60" s="80">
        <f>IFERROR(I60*isospec!$B26,".")</f>
        <v>0</v>
      </c>
      <c r="L60" s="82">
        <f>IFERROR(J60*isospec!$C26,".")</f>
        <v>1.1386273329991076E-9</v>
      </c>
      <c r="M60" s="83">
        <f t="shared" si="99"/>
        <v>1.1386273329991076E-9</v>
      </c>
      <c r="N60" s="79">
        <f>N$48*Aeq_Feq!$B26</f>
        <v>2.55E-5</v>
      </c>
      <c r="O60" s="80">
        <f t="shared" si="100"/>
        <v>4.1055000000000001</v>
      </c>
      <c r="P60" s="81">
        <f t="shared" si="101"/>
        <v>6.3575342465753426E-4</v>
      </c>
      <c r="Q60" s="80">
        <f>O60*isospec!$B26</f>
        <v>0</v>
      </c>
      <c r="R60" s="82">
        <f>P60*isospec!$C26</f>
        <v>7.8833424657534254E-12</v>
      </c>
      <c r="S60" s="83">
        <f t="shared" si="102"/>
        <v>7.8833424657534254E-12</v>
      </c>
      <c r="T60" s="79">
        <f>T$48*Aeq_Feq!$C26</f>
        <v>0.55500000000000005</v>
      </c>
      <c r="U60" s="80">
        <f t="shared" si="103"/>
        <v>69375</v>
      </c>
      <c r="V60" s="81">
        <f t="shared" si="104"/>
        <v>3.1678082191780819</v>
      </c>
      <c r="W60" s="80">
        <f>U60*isospec!$B26</f>
        <v>0</v>
      </c>
      <c r="X60" s="82">
        <f>V60*isospec!$C26</f>
        <v>3.9280821917808213E-8</v>
      </c>
      <c r="Y60" s="83">
        <f t="shared" si="105"/>
        <v>3.9280821917808213E-8</v>
      </c>
      <c r="Z60" s="79">
        <f>Z$48*Aeq_Feq!$C26</f>
        <v>2.4048359153230419E-3</v>
      </c>
      <c r="AA60" s="80">
        <f t="shared" si="106"/>
        <v>300.60448941538021</v>
      </c>
      <c r="AB60" s="81">
        <f t="shared" si="107"/>
        <v>1.3726232393396359E-2</v>
      </c>
      <c r="AC60" s="80">
        <f>IFERROR(AA60*isospec!$B26,".")</f>
        <v>0</v>
      </c>
      <c r="AD60" s="82">
        <f>IFERROR(AB60*isospec!$C26,".")</f>
        <v>1.7020528167811484E-10</v>
      </c>
      <c r="AE60" s="83">
        <f t="shared" si="108"/>
        <v>1.7020528167811484E-10</v>
      </c>
      <c r="AF60" s="79">
        <f>AF$48*Aeq_Feq!$C26</f>
        <v>1.6649999999999998E-5</v>
      </c>
      <c r="AG60" s="80">
        <f t="shared" si="109"/>
        <v>2.0812499999999998</v>
      </c>
      <c r="AH60" s="81">
        <f t="shared" si="110"/>
        <v>9.5034246575342445E-5</v>
      </c>
      <c r="AI60" s="80">
        <f>AG60*isospec!$B26</f>
        <v>0</v>
      </c>
      <c r="AJ60" s="82">
        <f>AH60*isospec!$C26</f>
        <v>1.1784246575342464E-12</v>
      </c>
      <c r="AK60" s="83">
        <f t="shared" si="111"/>
        <v>1.1784246575342464E-12</v>
      </c>
    </row>
    <row r="61" spans="1:37" x14ac:dyDescent="0.25">
      <c r="D61" s="56"/>
      <c r="E61" s="56"/>
    </row>
    <row r="62" spans="1:37" x14ac:dyDescent="0.25">
      <c r="D62" s="56"/>
      <c r="E62" s="56"/>
      <c r="H62" s="56"/>
    </row>
    <row r="63" spans="1:37" x14ac:dyDescent="0.25">
      <c r="D63" s="56"/>
      <c r="E63" s="56"/>
    </row>
  </sheetData>
  <sheetProtection algorithmName="SHA-512" hashValue="S+SiUkxDpstsnYo4yppjQNigaPGqwr7/RijHwLceetHIWhfvNGoCGrKeS4zuI3LOUDcjkG4rcIrjiX3y2kyuFw==" saltValue="TkMIgy6fOq4Bgg+GCB848w==" spinCount="100000" sheet="1" objects="1" scenarios="1"/>
  <mergeCells count="24">
    <mergeCell ref="U31:V31"/>
    <mergeCell ref="W31:Y31"/>
    <mergeCell ref="AI31:AK31"/>
    <mergeCell ref="B30:G30"/>
    <mergeCell ref="K31:M31"/>
    <mergeCell ref="N31:N32"/>
    <mergeCell ref="O31:P31"/>
    <mergeCell ref="Q31:S31"/>
    <mergeCell ref="T31:T32"/>
    <mergeCell ref="B31:B32"/>
    <mergeCell ref="C31:D31"/>
    <mergeCell ref="E31:G31"/>
    <mergeCell ref="H31:H32"/>
    <mergeCell ref="I31:J31"/>
    <mergeCell ref="H30:M30"/>
    <mergeCell ref="N30:S30"/>
    <mergeCell ref="T30:Y30"/>
    <mergeCell ref="Z30:AE30"/>
    <mergeCell ref="AF30:AK30"/>
    <mergeCell ref="Z31:Z32"/>
    <mergeCell ref="AA31:AB31"/>
    <mergeCell ref="AC31:AE31"/>
    <mergeCell ref="AF31:AF32"/>
    <mergeCell ref="AG31:AH3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0D88E-8A2A-4AE7-902C-E9BE9E5C8250}">
  <dimension ref="A1:AK63"/>
  <sheetViews>
    <sheetView zoomScaleNormal="100" workbookViewId="0">
      <pane xSplit="1" ySplit="1" topLeftCell="B2" activePane="bottomRight" state="frozen"/>
      <selection activeCell="N3" sqref="N3"/>
      <selection pane="topRight" activeCell="N3" sqref="N3"/>
      <selection pane="bottomLeft" activeCell="N3" sqref="N3"/>
      <selection pane="bottomRight" activeCell="B2" sqref="B2"/>
    </sheetView>
  </sheetViews>
  <sheetFormatPr defaultColWidth="9" defaultRowHeight="15" x14ac:dyDescent="0.25"/>
  <cols>
    <col min="1" max="1" width="17.7109375" style="40" bestFit="1" customWidth="1"/>
    <col min="2" max="2" width="10.85546875" style="40" bestFit="1" customWidth="1"/>
    <col min="3" max="3" width="9" style="40" bestFit="1" customWidth="1"/>
    <col min="4" max="4" width="8.85546875" style="40" bestFit="1" customWidth="1"/>
    <col min="5" max="5" width="11.140625" style="40" bestFit="1" customWidth="1"/>
    <col min="6" max="6" width="9.28515625" style="40" bestFit="1" customWidth="1"/>
    <col min="7" max="7" width="8.85546875" style="40" bestFit="1" customWidth="1"/>
    <col min="8" max="8" width="10.140625" style="40" bestFit="1" customWidth="1"/>
    <col min="9" max="9" width="10.42578125" style="40" bestFit="1" customWidth="1"/>
    <col min="10" max="10" width="9.85546875" style="40" bestFit="1" customWidth="1"/>
    <col min="11" max="11" width="9.140625" style="40" bestFit="1" customWidth="1"/>
    <col min="12" max="13" width="8.85546875" style="40" bestFit="1" customWidth="1"/>
    <col min="14" max="16" width="8.5703125" style="40" bestFit="1" customWidth="1"/>
    <col min="17" max="19" width="8.85546875" style="40" bestFit="1" customWidth="1"/>
    <col min="20" max="20" width="12.85546875" style="40" bestFit="1" customWidth="1"/>
    <col min="21" max="21" width="10" style="40" bestFit="1" customWidth="1"/>
    <col min="22" max="22" width="8.85546875" style="40" bestFit="1" customWidth="1"/>
    <col min="23" max="23" width="12.140625" style="40" bestFit="1" customWidth="1"/>
    <col min="24" max="24" width="10.28515625" style="40" bestFit="1" customWidth="1"/>
    <col min="25" max="25" width="9.140625" style="40" bestFit="1" customWidth="1"/>
    <col min="26" max="26" width="11.140625" style="40" bestFit="1" customWidth="1"/>
    <col min="27" max="27" width="11.42578125" style="40" bestFit="1" customWidth="1"/>
    <col min="28" max="28" width="10.85546875" style="40" bestFit="1" customWidth="1"/>
    <col min="29" max="29" width="9.140625" style="40" bestFit="1" customWidth="1"/>
    <col min="30" max="31" width="8.85546875" style="40" bestFit="1" customWidth="1"/>
    <col min="32" max="34" width="8.5703125" style="40" bestFit="1" customWidth="1"/>
    <col min="35" max="37" width="8.85546875" style="40" bestFit="1" customWidth="1"/>
    <col min="38" max="16384" width="9" style="40"/>
  </cols>
  <sheetData>
    <row r="1" spans="1:28" x14ac:dyDescent="0.25">
      <c r="A1" s="57" t="s">
        <v>158</v>
      </c>
      <c r="B1" s="58" t="s">
        <v>136</v>
      </c>
      <c r="C1" s="58" t="s">
        <v>137</v>
      </c>
      <c r="D1" s="58" t="s">
        <v>135</v>
      </c>
      <c r="E1" s="58" t="s">
        <v>149</v>
      </c>
      <c r="F1" s="58" t="s">
        <v>150</v>
      </c>
      <c r="G1" s="58" t="s">
        <v>25</v>
      </c>
      <c r="H1" s="58" t="s">
        <v>22</v>
      </c>
      <c r="I1" s="58" t="s">
        <v>23</v>
      </c>
      <c r="J1" s="58" t="s">
        <v>24</v>
      </c>
      <c r="T1" s="61" t="s">
        <v>188</v>
      </c>
      <c r="U1" s="61" t="s">
        <v>189</v>
      </c>
      <c r="V1" s="61" t="s">
        <v>138</v>
      </c>
      <c r="W1" s="61" t="s">
        <v>147</v>
      </c>
      <c r="X1" s="61" t="s">
        <v>148</v>
      </c>
      <c r="Y1" s="61" t="s">
        <v>139</v>
      </c>
      <c r="Z1" s="61" t="s">
        <v>140</v>
      </c>
      <c r="AA1" s="61" t="s">
        <v>141</v>
      </c>
      <c r="AB1" s="61" t="s">
        <v>142</v>
      </c>
    </row>
    <row r="2" spans="1:28" x14ac:dyDescent="0.25">
      <c r="A2" s="57" t="str">
        <f>s_isospec!A2</f>
        <v>Rn-219</v>
      </c>
      <c r="B2" s="59">
        <f>1/(SUM((1/B3),(1/B4),(1/B5),(1/B6),(1/B7),(1/B8)))</f>
        <v>6437.3639141313706</v>
      </c>
      <c r="C2" s="59">
        <f>1/(SUM((1/C3),(1/C4),(1/C5),(1/C6),(1/C7),(1/C8)))</f>
        <v>6.437363914131371</v>
      </c>
      <c r="D2" s="59">
        <f>1/(1/D3)</f>
        <v>3.0725526812451834E-4</v>
      </c>
      <c r="E2" s="59">
        <f>B2/s_AFss</f>
        <v>128747.27828262741</v>
      </c>
      <c r="F2" s="59">
        <f>(B2/s_AFss)/1000</f>
        <v>128.74727828262741</v>
      </c>
      <c r="G2" s="59">
        <f>IFERROR(B2/(s_AFgw*1000*s_isospec!M2),0)</f>
        <v>886.18695746780259</v>
      </c>
      <c r="H2" s="59">
        <f>1/(1/H5)</f>
        <v>6609.0416636413247</v>
      </c>
      <c r="I2" s="59">
        <f>1/(SUM((1/I3),(1/I4),(1/I5),(1/I6),(1/I7),(1/I8)))</f>
        <v>247817.82399849346</v>
      </c>
      <c r="J2" s="59">
        <f>1/(SUM((1/J3),(1/J4),(1/J5),(1/J6),(1/J7),(1/J8)))</f>
        <v>6437.3639141313706</v>
      </c>
      <c r="T2" s="59">
        <f>1/(SUM((1/T3),(1/T4),(1/T5),(1/T6),(1/T7),(1/T8)))</f>
        <v>1912.7588635282966</v>
      </c>
      <c r="U2" s="59">
        <f>1/(SUM((1/U3),(1/U4),(1/U5),(1/U6),(1/U7),(1/U8)))</f>
        <v>1.9127588635282968</v>
      </c>
      <c r="V2" s="59">
        <f>1/(1/V3)</f>
        <v>3.0725526812451834E-4</v>
      </c>
      <c r="W2" s="59">
        <f>T2/s_AFss</f>
        <v>38255.177270565931</v>
      </c>
      <c r="X2" s="59">
        <f>(T2/s_AFss)/1000</f>
        <v>38.25517727056593</v>
      </c>
      <c r="Y2" s="59">
        <f>IFERROR(T2/(s_AFgw*1000*s_isospec!M2),0)</f>
        <v>263.3161617473101</v>
      </c>
      <c r="Z2" s="59">
        <f>1/(1/Z5)</f>
        <v>1927.6371518953868</v>
      </c>
      <c r="AA2" s="59">
        <f>1/(SUM((1/AA3),(1/AA4),(1/AA5),(1/AA6),(1/AA7),(1/AA8)))</f>
        <v>247817.82399849346</v>
      </c>
      <c r="AB2" s="59">
        <f>1/(SUM((1/AB3),(1/AB4),(1/AB5),(1/AB6),(1/AB7),(1/AB8)))</f>
        <v>1912.7588635282966</v>
      </c>
    </row>
    <row r="3" spans="1:28" x14ac:dyDescent="0.25">
      <c r="A3" s="57" t="str">
        <f>s_isospec!A2</f>
        <v>Rn-219</v>
      </c>
      <c r="B3" s="60">
        <f t="shared" ref="B3:B8" si="0">J3</f>
        <v>334330.16482499114</v>
      </c>
      <c r="C3" s="60">
        <f t="shared" ref="C3:C8" si="1">MIN(I3:J3)/1000</f>
        <v>334.33016482499113</v>
      </c>
      <c r="D3" s="60">
        <f>(C3/1000)*s_Aeq_Feq!E2</f>
        <v>3.0725526812451834E-4</v>
      </c>
      <c r="E3" s="60"/>
      <c r="F3" s="60"/>
      <c r="G3" s="60"/>
      <c r="H3" s="60">
        <f>IFERROR((s_TR)/(s_isospec!B2*s_IFAres_adj)/s_Aeq_Feq!B2,0)</f>
        <v>0</v>
      </c>
      <c r="I3" s="60">
        <f>IFERROR((s_TR)/(s_isospec!C2*s_EFres*(1/365)*s_EDres*s_ETres*(1/24)*s_GSFa)/s_Aeq_Feq!B2,0)</f>
        <v>334330.16482499114</v>
      </c>
      <c r="J3" s="60">
        <f t="shared" ref="J3:J8" si="2">IFERROR(IF(AND(H3&lt;&gt;0,I3&lt;&gt;0),1/((1/H3)+(1/I3)),IF(AND(H3&lt;&gt;0,I3=0),1/(1/H3),IF(AND(H3=0,I3&lt;&gt;0),1/(1/I3),IF(AND(H3=0,I3=0),0)))),0)</f>
        <v>334330.16482499114</v>
      </c>
      <c r="T3" s="60">
        <f t="shared" ref="T3:T8" si="3">AB3</f>
        <v>334330.16482499114</v>
      </c>
      <c r="U3" s="60">
        <f t="shared" ref="U3:U8" si="4">MIN(AA3:AB3)/1000</f>
        <v>334.33016482499113</v>
      </c>
      <c r="V3" s="60">
        <f>(U3/1000)*s_Aeq_Feq!G2</f>
        <v>3.0725526812451834E-4</v>
      </c>
      <c r="W3" s="60"/>
      <c r="X3" s="60"/>
      <c r="Y3" s="60"/>
      <c r="Z3" s="60">
        <f>IFERROR((s_TR)/(s_isospec!B2*s_EFw*s_EDw*s_ETw*(1/24)*s_IRAw)/s_Aeq_Feq!C2,0)</f>
        <v>0</v>
      </c>
      <c r="AA3" s="60">
        <f>IFERROR((s_TR)/(s_isospec!C2*s_EFw*(1/365)*s_EDw*s_ETw*(1/24)*s_GSFa)/s_Aeq_Feq!C2,0)</f>
        <v>334330.16482499114</v>
      </c>
      <c r="AB3" s="60">
        <f t="shared" ref="AB3:AB8" si="5">IFERROR(IF(AND(Z3&lt;&gt;0,AA3&lt;&gt;0),1/((1/Z3)+(1/AA3)),IF(AND(Z3&lt;&gt;0,AA3=0),1/(1/Z3),IF(AND(Z3=0,AA3&lt;&gt;0),1/(1/AA3),IF(AND(Z3=0,AA3=0),0)))),0)</f>
        <v>334330.16482499114</v>
      </c>
    </row>
    <row r="4" spans="1:28" x14ac:dyDescent="0.25">
      <c r="A4" s="57" t="str">
        <f>s_isospec!A3</f>
        <v>Rn-219~Bi-211</v>
      </c>
      <c r="B4" s="60">
        <f t="shared" si="0"/>
        <v>2794852.8727502208</v>
      </c>
      <c r="C4" s="60">
        <f t="shared" si="1"/>
        <v>2794.8528727502207</v>
      </c>
      <c r="D4" s="60">
        <f>(C4/1000)*s_Aeq_Feq!E3</f>
        <v>0</v>
      </c>
      <c r="E4" s="60"/>
      <c r="F4" s="60"/>
      <c r="G4" s="60"/>
      <c r="H4" s="60">
        <f>IFERROR((s_TR)/(s_isospec!B3*s_IFAres_adj)/s_Aeq_Feq!B3,0)</f>
        <v>0</v>
      </c>
      <c r="I4" s="60">
        <f>IFERROR((s_TR)/(s_isospec!C3*s_EFres*(1/365)*s_EDres*s_ETres*(1/24)*s_GSFa)/s_Aeq_Feq!B3,0)</f>
        <v>2794852.8727502208</v>
      </c>
      <c r="J4" s="60">
        <f t="shared" si="2"/>
        <v>2794852.8727502208</v>
      </c>
      <c r="T4" s="60">
        <f t="shared" si="3"/>
        <v>2794852.8727502208</v>
      </c>
      <c r="U4" s="60">
        <f t="shared" si="4"/>
        <v>2794.8528727502207</v>
      </c>
      <c r="V4" s="60">
        <f>(U4/1000)*s_Aeq_Feq!G3</f>
        <v>0</v>
      </c>
      <c r="W4" s="60"/>
      <c r="X4" s="60"/>
      <c r="Y4" s="60"/>
      <c r="Z4" s="60">
        <f>IFERROR((s_TR)/(s_isospec!B3*s_EFw*s_EDw*s_ETw*(1/24)*s_IRAw)/s_Aeq_Feq!C3,0)</f>
        <v>0</v>
      </c>
      <c r="AA4" s="60">
        <f>IFERROR((s_TR)/(s_isospec!C3*s_EFw*(1/365)*s_EDw*s_ETw*(1/24)*s_GSFa)/s_Aeq_Feq!C3,0)</f>
        <v>2794852.8727502208</v>
      </c>
      <c r="AB4" s="60">
        <f t="shared" si="5"/>
        <v>2794852.8727502208</v>
      </c>
    </row>
    <row r="5" spans="1:28" x14ac:dyDescent="0.25">
      <c r="A5" s="57" t="str">
        <f>s_isospec!A4</f>
        <v>Rn-219~Pb-211</v>
      </c>
      <c r="B5" s="60">
        <f t="shared" si="0"/>
        <v>6580.5272045785032</v>
      </c>
      <c r="C5" s="60">
        <f t="shared" si="1"/>
        <v>6.5805272045785035</v>
      </c>
      <c r="D5" s="60">
        <f>(C5/1000)*s_Aeq_Feq!E4</f>
        <v>0</v>
      </c>
      <c r="E5" s="60"/>
      <c r="F5" s="60"/>
      <c r="G5" s="60"/>
      <c r="H5" s="60">
        <f>IFERROR((s_TR)/(s_isospec!B4*s_IFAres_adj)/s_Aeq_Feq!B4,0)</f>
        <v>6609.0416636413247</v>
      </c>
      <c r="I5" s="60">
        <f>IFERROR((s_TR)/(s_isospec!C4*s_EFres*(1/365)*s_EDres*s_ETres*(1/24)*s_GSFa)/s_Aeq_Feq!B4,0)</f>
        <v>1525225.4432730847</v>
      </c>
      <c r="J5" s="60">
        <f t="shared" si="2"/>
        <v>6580.5272045785032</v>
      </c>
      <c r="T5" s="60">
        <f t="shared" si="3"/>
        <v>1925.2040068249964</v>
      </c>
      <c r="U5" s="60">
        <f t="shared" si="4"/>
        <v>1.9252040068249965</v>
      </c>
      <c r="V5" s="60">
        <f>(U5/1000)*s_Aeq_Feq!G4</f>
        <v>0</v>
      </c>
      <c r="W5" s="60"/>
      <c r="X5" s="60"/>
      <c r="Y5" s="60"/>
      <c r="Z5" s="60">
        <f>IFERROR((s_TR)/(s_isospec!B4*s_EFw*s_EDw*s_ETw*(1/24)*s_IRAw)/s_Aeq_Feq!C4,0)</f>
        <v>1927.6371518953865</v>
      </c>
      <c r="AA5" s="60">
        <f>IFERROR((s_TR)/(s_isospec!C4*s_EFw*(1/365)*s_EDw*s_ETw*(1/24)*s_GSFa)/s_Aeq_Feq!C4,0)</f>
        <v>1525225.4432730847</v>
      </c>
      <c r="AB5" s="60">
        <f t="shared" si="5"/>
        <v>1925.2040068249964</v>
      </c>
    </row>
    <row r="6" spans="1:28" x14ac:dyDescent="0.25">
      <c r="A6" s="57" t="str">
        <f>s_isospec!A5</f>
        <v>Rn-219~Po-211</v>
      </c>
      <c r="B6" s="60">
        <f t="shared" si="0"/>
        <v>5683612802.0248489</v>
      </c>
      <c r="C6" s="60">
        <f t="shared" si="1"/>
        <v>5683612.8020248488</v>
      </c>
      <c r="D6" s="60">
        <f>(C6/1000)*s_Aeq_Feq!E5</f>
        <v>0</v>
      </c>
      <c r="E6" s="60"/>
      <c r="F6" s="60"/>
      <c r="G6" s="60"/>
      <c r="H6" s="60">
        <f>IFERROR((s_TR)/(s_isospec!B5*s_IFAres_adj)/s_Aeq_Feq!B5,0)</f>
        <v>0</v>
      </c>
      <c r="I6" s="60">
        <f>IFERROR((s_TR)/(s_isospec!C5*s_EFres*(1/365)*s_EDres*s_ETres*(1/24)*s_GSFa)/s_Aeq_Feq!B5,0)</f>
        <v>5683612802.0248489</v>
      </c>
      <c r="J6" s="60">
        <f t="shared" si="2"/>
        <v>5683612802.0248489</v>
      </c>
      <c r="T6" s="60">
        <f t="shared" si="3"/>
        <v>5683612802.0248489</v>
      </c>
      <c r="U6" s="60">
        <f t="shared" si="4"/>
        <v>5683612.8020248488</v>
      </c>
      <c r="V6" s="60">
        <f>(U6/1000)*s_Aeq_Feq!G5</f>
        <v>0</v>
      </c>
      <c r="W6" s="60"/>
      <c r="X6" s="60"/>
      <c r="Y6" s="60"/>
      <c r="Z6" s="60">
        <f>IFERROR((s_TR)/(s_isospec!B5*s_EFw*s_EDw*s_ETw*(1/24)*s_IRAw)/s_Aeq_Feq!C5,0)</f>
        <v>0</v>
      </c>
      <c r="AA6" s="60">
        <f>IFERROR((s_TR)/(s_isospec!C5*s_EFw*(1/365)*s_EDw*s_ETw*(1/24)*s_GSFa)/s_Aeq_Feq!C5,0)</f>
        <v>5683612802.0248489</v>
      </c>
      <c r="AB6" s="60">
        <f t="shared" si="5"/>
        <v>5683612802.0248489</v>
      </c>
    </row>
    <row r="7" spans="1:28" x14ac:dyDescent="0.25">
      <c r="A7" s="57" t="str">
        <f>s_isospec!A6</f>
        <v>Rn-219~Po-215</v>
      </c>
      <c r="B7" s="60">
        <f t="shared" si="0"/>
        <v>109662131.22583079</v>
      </c>
      <c r="C7" s="60">
        <f t="shared" si="1"/>
        <v>109662.13122583079</v>
      </c>
      <c r="D7" s="60">
        <f>(C7/1000)*s_Aeq_Feq!E6</f>
        <v>0</v>
      </c>
      <c r="E7" s="60"/>
      <c r="F7" s="60"/>
      <c r="G7" s="60"/>
      <c r="H7" s="60">
        <f>IFERROR((s_TR)/(s_isospec!B6*s_IFAres_adj)/s_Aeq_Feq!B6,0)</f>
        <v>0</v>
      </c>
      <c r="I7" s="60">
        <f>IFERROR((s_TR)/(s_isospec!C6*s_EFres*(1/365)*s_EDres*s_ETres*(1/24)*s_GSFa)/s_Aeq_Feq!B6,0)</f>
        <v>109662131.22583081</v>
      </c>
      <c r="J7" s="60">
        <f t="shared" si="2"/>
        <v>109662131.22583079</v>
      </c>
      <c r="T7" s="60">
        <f t="shared" si="3"/>
        <v>109662131.22583079</v>
      </c>
      <c r="U7" s="60">
        <f t="shared" si="4"/>
        <v>109662.13122583079</v>
      </c>
      <c r="V7" s="60">
        <f>(U7/1000)*s_Aeq_Feq!G6</f>
        <v>0</v>
      </c>
      <c r="W7" s="60"/>
      <c r="X7" s="60"/>
      <c r="Y7" s="60"/>
      <c r="Z7" s="60">
        <f>IFERROR((s_TR)/(s_isospec!B6*s_EFw*s_EDw*s_ETw*(1/24)*s_IRAw)/s_Aeq_Feq!C6,0)</f>
        <v>0</v>
      </c>
      <c r="AA7" s="60">
        <f>IFERROR((s_TR)/(s_isospec!C6*s_EFw*(1/365)*s_EDw*s_ETw*(1/24)*s_GSFa)/s_Aeq_Feq!C6,0)</f>
        <v>109662131.22583081</v>
      </c>
      <c r="AB7" s="60">
        <f t="shared" si="5"/>
        <v>109662131.22583079</v>
      </c>
    </row>
    <row r="8" spans="1:28" x14ac:dyDescent="0.25">
      <c r="A8" s="57" t="str">
        <f>s_isospec!A7</f>
        <v>Rn-219~Tl-207</v>
      </c>
      <c r="B8" s="60">
        <f t="shared" si="0"/>
        <v>46661891.440699346</v>
      </c>
      <c r="C8" s="60">
        <f t="shared" si="1"/>
        <v>46661.89144069935</v>
      </c>
      <c r="D8" s="60">
        <f>(C8/1000)*s_Aeq_Feq!E7</f>
        <v>0</v>
      </c>
      <c r="E8" s="60"/>
      <c r="F8" s="60"/>
      <c r="G8" s="60"/>
      <c r="H8" s="60">
        <f>IFERROR((s_TR)/(s_isospec!B7*s_IFAres_adj)/s_Aeq_Feq!B7,0)</f>
        <v>0</v>
      </c>
      <c r="I8" s="60">
        <f>IFERROR((s_TR)/(s_isospec!C7*s_EFres*(1/365)*s_EDres*s_ETres*(1/24)*s_GSFa)/s_Aeq_Feq!B7,0)</f>
        <v>46661891.440699346</v>
      </c>
      <c r="J8" s="60">
        <f t="shared" si="2"/>
        <v>46661891.440699346</v>
      </c>
      <c r="T8" s="60">
        <f t="shared" si="3"/>
        <v>46661891.440699346</v>
      </c>
      <c r="U8" s="60">
        <f t="shared" si="4"/>
        <v>46661.89144069935</v>
      </c>
      <c r="V8" s="60">
        <f>(U8/1000)*s_Aeq_Feq!G7</f>
        <v>0</v>
      </c>
      <c r="W8" s="60"/>
      <c r="X8" s="60"/>
      <c r="Y8" s="60"/>
      <c r="Z8" s="60">
        <f>IFERROR((s_TR)/(s_isospec!B7*s_EFw*s_EDw*s_ETw*(1/24)*s_IRAw)/s_Aeq_Feq!C7,0)</f>
        <v>0</v>
      </c>
      <c r="AA8" s="60">
        <f>IFERROR((s_TR)/(s_isospec!C7*s_EFw*(1/365)*s_EDw*s_ETw*(1/24)*s_GSFa)/s_Aeq_Feq!C7,0)</f>
        <v>46661891.440699346</v>
      </c>
      <c r="AB8" s="60">
        <f t="shared" si="5"/>
        <v>46661891.440699346</v>
      </c>
    </row>
    <row r="9" spans="1:28" x14ac:dyDescent="0.25">
      <c r="A9" s="57" t="str">
        <f>s_isospec!A8</f>
        <v>Rn-220</v>
      </c>
      <c r="B9" s="59">
        <f>1/(SUM((1/B10),(1/B11),(1/B12),(1/B14),(1/B15)))</f>
        <v>5274.1785425773569</v>
      </c>
      <c r="C9" s="59">
        <f>1/(SUM((1/C10),(1/C11),(1/C12),(1/C14),(1/C15)))</f>
        <v>5.2741785425773582</v>
      </c>
      <c r="D9" s="59">
        <f>1/(1/D10)</f>
        <v>9.07170020473642E-6</v>
      </c>
      <c r="E9" s="59">
        <f>B9/s_AFss</f>
        <v>105483.57085154713</v>
      </c>
      <c r="F9" s="59">
        <f>(B9/s_AFss)/1000</f>
        <v>105.48357085154713</v>
      </c>
      <c r="G9" s="59">
        <f>IFERROR(B9/(s_AFgw*1000*s_isospec!M8),0)</f>
        <v>726.05934636200755</v>
      </c>
      <c r="H9" s="59">
        <f>1/(SUM((1/H10),(1/H11),(1/H12)))</f>
        <v>5280.112004375892</v>
      </c>
      <c r="I9" s="59">
        <f>1/(SUM((1/I10),(1/I11),(1/I12),(1/I14),(1/I15)))</f>
        <v>4693424.2405937593</v>
      </c>
      <c r="J9" s="59">
        <f>1/(SUM((1/J10),(1/J11),(1/J12),(1/J14),(1/J15)))</f>
        <v>5274.1785425773569</v>
      </c>
      <c r="T9" s="59">
        <f>1/(SUM((1/T10),(1/T11),(1/T12),(1/T14),(1/T15)))</f>
        <v>1539.5275095476563</v>
      </c>
      <c r="U9" s="59">
        <f>1/(SUM((1/U10),(1/U11),(1/U12),(1/U14),(1/U15)))</f>
        <v>1.5395275095476564</v>
      </c>
      <c r="V9" s="59">
        <f>1/(1/V10)</f>
        <v>2.6485926624309358E-6</v>
      </c>
      <c r="W9" s="59">
        <f>T9/s_AFss</f>
        <v>30790.550190953127</v>
      </c>
      <c r="X9" s="59">
        <f>(T9/s_AFss)/1000</f>
        <v>30.790550190953127</v>
      </c>
      <c r="Y9" s="59">
        <f>IFERROR(T9/(s_AFgw*1000*s_isospec!M8),0)</f>
        <v>211.936006387502</v>
      </c>
      <c r="Z9" s="59">
        <f>1/(SUM((1/Z10),(1/Z11),(1/Z12)))</f>
        <v>1540.0326679429691</v>
      </c>
      <c r="AA9" s="59">
        <f>1/(SUM((1/AA10),(1/AA11),(1/AA12),(1/AA14),(1/AA15)))</f>
        <v>4693424.2405937593</v>
      </c>
      <c r="AB9" s="59">
        <f>1/(SUM((1/AB10),(1/AB11),(1/AB12),(1/AB14),(1/AB15)))</f>
        <v>1539.5275095476563</v>
      </c>
    </row>
    <row r="10" spans="1:28" x14ac:dyDescent="0.25">
      <c r="A10" s="57" t="str">
        <f>s_isospec!A8</f>
        <v>Rn-220</v>
      </c>
      <c r="B10" s="60">
        <f t="shared" ref="B10:B15" si="6">J10</f>
        <v>43303.380331012675</v>
      </c>
      <c r="C10" s="60">
        <f t="shared" ref="C10:C15" si="7">MIN(I10:J10)/1000</f>
        <v>43.303380331012676</v>
      </c>
      <c r="D10" s="60">
        <f>(C10/1000)*s_Aeq_Feq!E8</f>
        <v>9.07170020473642E-6</v>
      </c>
      <c r="E10" s="60"/>
      <c r="F10" s="60"/>
      <c r="G10" s="60"/>
      <c r="H10" s="60">
        <f>IFERROR((s_TR)/(s_isospec!B8*s_IFAres_adj)/s_Aeq_Feq!B8,0)</f>
        <v>43365.330321852067</v>
      </c>
      <c r="I10" s="60">
        <f>IFERROR((s_TR)/(s_isospec!C8*s_EFres*(1/365)*s_EDres*s_ETres*(1/24)*s_GSFa)/s_Aeq_Feq!B8,0)</f>
        <v>30312601.610799193</v>
      </c>
      <c r="J10" s="60">
        <f t="shared" ref="J10:J15" si="8">IFERROR(IF(AND(H10&lt;&gt;0,I10&lt;&gt;0),1/((1/H10)+(1/I10)),IF(AND(H10&lt;&gt;0,I10=0),1/(1/H10),IF(AND(H10=0,I10&lt;&gt;0),1/(1/I10),IF(AND(H10=0,I10=0),0)))),0)</f>
        <v>43303.380331012675</v>
      </c>
      <c r="T10" s="60">
        <f t="shared" ref="T10:T15" si="9">AB10</f>
        <v>12642.945954419214</v>
      </c>
      <c r="U10" s="60">
        <f t="shared" ref="U10:U15" si="10">MIN(AA10:AB10)/1000</f>
        <v>12.642945954419215</v>
      </c>
      <c r="V10" s="60">
        <f>(U10/1000)*s_Aeq_Feq!G8</f>
        <v>2.6485926624309358E-6</v>
      </c>
      <c r="W10" s="60"/>
      <c r="X10" s="60"/>
      <c r="Y10" s="60"/>
      <c r="Z10" s="60">
        <f>IFERROR((s_TR)/(s_isospec!B8*s_EFw*s_EDw*s_ETw*(1/24)*s_IRAw)/s_Aeq_Feq!C8,0)</f>
        <v>12648.221343873518</v>
      </c>
      <c r="AA10" s="60">
        <f>IFERROR((s_TR)/(s_isospec!C8*s_EFw*(1/365)*s_EDw*s_ETw*(1/24)*s_GSFa)/s_Aeq_Feq!C8,0)</f>
        <v>30312601.610799193</v>
      </c>
      <c r="AB10" s="60">
        <f t="shared" ref="AB10:AB15" si="11">IFERROR(IF(AND(Z10&lt;&gt;0,AA10&lt;&gt;0),1/((1/Z10)+(1/AA10)),IF(AND(Z10&lt;&gt;0,AA10=0),1/(1/Z10),IF(AND(Z10=0,AA10&lt;&gt;0),1/(1/AA10),IF(AND(Z10=0,AA10=0),0)))),0)</f>
        <v>12642.945954419214</v>
      </c>
    </row>
    <row r="11" spans="1:28" x14ac:dyDescent="0.25">
      <c r="A11" s="57" t="str">
        <f>s_isospec!A9</f>
        <v>Rn-220~Bi-212</v>
      </c>
      <c r="B11" s="60">
        <f t="shared" si="6"/>
        <v>275127.1513546643</v>
      </c>
      <c r="C11" s="60">
        <f t="shared" si="7"/>
        <v>275.12715135466431</v>
      </c>
      <c r="D11" s="60">
        <f>(C11/1000)*s_Aeq_Feq!E9</f>
        <v>0</v>
      </c>
      <c r="E11" s="60"/>
      <c r="F11" s="60"/>
      <c r="G11" s="60"/>
      <c r="H11" s="60">
        <f>IFERROR((s_TR)/(s_isospec!B9*s_IFAres_adj)/s_Aeq_Feq!B9,0)</f>
        <v>275830.36432593956</v>
      </c>
      <c r="I11" s="60">
        <f>IFERROR((s_TR)/(s_isospec!C9*s_EFres*(1/365)*s_EDres*s_ETres*(1/24)*s_GSFa)/s_Aeq_Feq!B9,0)</f>
        <v>107916698.7726237</v>
      </c>
      <c r="J11" s="60">
        <f t="shared" si="8"/>
        <v>275127.1513546643</v>
      </c>
      <c r="T11" s="60">
        <f t="shared" si="9"/>
        <v>80390.592766522823</v>
      </c>
      <c r="U11" s="60">
        <f t="shared" si="10"/>
        <v>80.390592766522829</v>
      </c>
      <c r="V11" s="60">
        <f>(U11/1000)*s_Aeq_Feq!G9</f>
        <v>0</v>
      </c>
      <c r="W11" s="60"/>
      <c r="X11" s="60"/>
      <c r="Y11" s="60"/>
      <c r="Z11" s="60">
        <f>IFERROR((s_TR)/(s_isospec!B9*s_EFw*s_EDw*s_ETw*(1/24)*s_IRAw)/s_Aeq_Feq!C9,0)</f>
        <v>80450.522928399034</v>
      </c>
      <c r="AA11" s="60">
        <f>IFERROR((s_TR)/(s_isospec!C9*s_EFw*(1/365)*s_EDw*s_ETw*(1/24)*s_GSFa)/s_Aeq_Feq!C9,0)</f>
        <v>107916698.7726237</v>
      </c>
      <c r="AB11" s="60">
        <f t="shared" si="11"/>
        <v>80390.592766522823</v>
      </c>
    </row>
    <row r="12" spans="1:28" x14ac:dyDescent="0.25">
      <c r="A12" s="57" t="str">
        <f>s_isospec!A10</f>
        <v>Rn-220~Pb-212</v>
      </c>
      <c r="B12" s="60">
        <f t="shared" si="6"/>
        <v>6142.7012419888906</v>
      </c>
      <c r="C12" s="60">
        <f t="shared" si="7"/>
        <v>6.1427012419888909</v>
      </c>
      <c r="D12" s="60">
        <f>(C12/1000)*s_Aeq_Feq!E10</f>
        <v>0</v>
      </c>
      <c r="E12" s="60"/>
      <c r="F12" s="60"/>
      <c r="G12" s="60"/>
      <c r="H12" s="60">
        <f>IFERROR((s_TR)/(s_isospec!B10*s_IFAres_adj)/s_Aeq_Feq!B10,0)</f>
        <v>6146.1073772975278</v>
      </c>
      <c r="I12" s="60">
        <f>IFERROR((s_TR)/(s_isospec!C10*s_EFres*(1/365)*s_EDres*s_ETres*(1/24)*s_GSFa)/s_Aeq_Feq!B10,0)</f>
        <v>11084028.67149305</v>
      </c>
      <c r="J12" s="60">
        <f t="shared" si="8"/>
        <v>6142.7012419888906</v>
      </c>
      <c r="T12" s="60">
        <f t="shared" si="9"/>
        <v>1792.3247798830184</v>
      </c>
      <c r="U12" s="60">
        <f t="shared" si="10"/>
        <v>1.7923247798830184</v>
      </c>
      <c r="V12" s="60">
        <f>(U12/1000)*s_Aeq_Feq!G10</f>
        <v>0</v>
      </c>
      <c r="W12" s="60"/>
      <c r="X12" s="60"/>
      <c r="Y12" s="60"/>
      <c r="Z12" s="60">
        <f>IFERROR((s_TR)/(s_isospec!B10*s_EFw*s_EDw*s_ETw*(1/24)*s_IRAw)/s_Aeq_Feq!C10,0)</f>
        <v>1792.6146517117793</v>
      </c>
      <c r="AA12" s="60">
        <f>IFERROR((s_TR)/(s_isospec!C10*s_EFw*(1/365)*s_EDw*s_ETw*(1/24)*s_GSFa)/s_Aeq_Feq!C10,0)</f>
        <v>11084028.67149305</v>
      </c>
      <c r="AB12" s="60">
        <f t="shared" si="11"/>
        <v>1792.3247798830184</v>
      </c>
    </row>
    <row r="13" spans="1:28" x14ac:dyDescent="0.25">
      <c r="A13" s="57" t="str">
        <f>s_isospec!A11</f>
        <v>Rn-220~Po-212</v>
      </c>
      <c r="B13" s="60">
        <f t="shared" si="6"/>
        <v>0</v>
      </c>
      <c r="C13" s="60">
        <f t="shared" si="7"/>
        <v>0</v>
      </c>
      <c r="D13" s="60">
        <f>(C13/1000)*s_Aeq_Feq!E11</f>
        <v>0</v>
      </c>
      <c r="E13" s="60"/>
      <c r="F13" s="60"/>
      <c r="G13" s="60"/>
      <c r="H13" s="60">
        <f>IFERROR((s_TR)/(s_isospec!B11*s_IFAres_adj)/s_Aeq_Feq!B11,0)</f>
        <v>0</v>
      </c>
      <c r="I13" s="60">
        <f>IFERROR((s_TR)/(s_isospec!C11*s_EFres*(1/365)*s_EDres*s_ETres*(1/24)*s_GSFa)/s_Aeq_Feq!B11,0)</f>
        <v>0</v>
      </c>
      <c r="J13" s="60">
        <f t="shared" si="8"/>
        <v>0</v>
      </c>
      <c r="T13" s="60">
        <f t="shared" si="9"/>
        <v>0</v>
      </c>
      <c r="U13" s="60">
        <f t="shared" si="10"/>
        <v>0</v>
      </c>
      <c r="V13" s="60">
        <f>(U13/1000)*s_Aeq_Feq!G11</f>
        <v>0</v>
      </c>
      <c r="W13" s="60"/>
      <c r="X13" s="60"/>
      <c r="Y13" s="60"/>
      <c r="Z13" s="60">
        <f>IFERROR((s_TR)/(s_isospec!B11*s_EFw*s_EDw*s_ETw*(1/24)*s_IRAw)/s_Aeq_Feq!C11,0)</f>
        <v>0</v>
      </c>
      <c r="AA13" s="60">
        <f>IFERROR((s_TR)/(s_isospec!C11*s_EFw*(1/365)*s_EDw*s_ETw*(1/24)*s_GSFa)/s_Aeq_Feq!C11,0)</f>
        <v>0</v>
      </c>
      <c r="AB13" s="60">
        <f t="shared" si="11"/>
        <v>0</v>
      </c>
    </row>
    <row r="14" spans="1:28" x14ac:dyDescent="0.25">
      <c r="A14" s="57" t="str">
        <f>s_isospec!A12</f>
        <v>Rn-220~Po-216</v>
      </c>
      <c r="B14" s="60">
        <f t="shared" si="6"/>
        <v>1209642212.243428</v>
      </c>
      <c r="C14" s="60">
        <f t="shared" si="7"/>
        <v>1209642.212243428</v>
      </c>
      <c r="D14" s="60">
        <f>(C14/1000)*s_Aeq_Feq!E12</f>
        <v>0</v>
      </c>
      <c r="E14" s="60"/>
      <c r="F14" s="60"/>
      <c r="G14" s="60"/>
      <c r="H14" s="60">
        <f>IFERROR((s_TR)/(s_isospec!B12*s_IFAres_adj)/s_Aeq_Feq!B12,0)</f>
        <v>0</v>
      </c>
      <c r="I14" s="60">
        <f>IFERROR((s_TR)/(s_isospec!C12*s_EFres*(1/365)*s_EDres*s_ETres*(1/24)*s_GSFa)/s_Aeq_Feq!B12,0)</f>
        <v>1209642212.243428</v>
      </c>
      <c r="J14" s="60">
        <f t="shared" si="8"/>
        <v>1209642212.243428</v>
      </c>
      <c r="T14" s="60">
        <f t="shared" si="9"/>
        <v>1209642212.243428</v>
      </c>
      <c r="U14" s="60">
        <f t="shared" si="10"/>
        <v>1209642.212243428</v>
      </c>
      <c r="V14" s="60">
        <f>(U14/1000)*s_Aeq_Feq!G12</f>
        <v>0</v>
      </c>
      <c r="W14" s="60"/>
      <c r="X14" s="60"/>
      <c r="Y14" s="60"/>
      <c r="Z14" s="60">
        <f>IFERROR((s_TR)/(s_isospec!B12*s_EFw*s_EDw*s_ETw*(1/24)*s_IRAw)/s_Aeq_Feq!C12,0)</f>
        <v>0</v>
      </c>
      <c r="AA14" s="60">
        <f>IFERROR((s_TR)/(s_isospec!C12*s_EFw*(1/365)*s_EDw*s_ETw*(1/24)*s_GSFa)/s_Aeq_Feq!C12,0)</f>
        <v>1209642212.243428</v>
      </c>
      <c r="AB14" s="60">
        <f t="shared" si="11"/>
        <v>1209642212.243428</v>
      </c>
    </row>
    <row r="15" spans="1:28" x14ac:dyDescent="0.25">
      <c r="A15" s="57" t="str">
        <f>s_isospec!A13</f>
        <v>Rn-220~Tl-208</v>
      </c>
      <c r="B15" s="60">
        <f t="shared" si="6"/>
        <v>12537381.180937167</v>
      </c>
      <c r="C15" s="60">
        <f t="shared" si="7"/>
        <v>12537.381180937167</v>
      </c>
      <c r="D15" s="60">
        <f>(C15/1000)*s_Aeq_Feq!E13</f>
        <v>0</v>
      </c>
      <c r="E15" s="60"/>
      <c r="F15" s="60"/>
      <c r="G15" s="60"/>
      <c r="H15" s="60">
        <f>IFERROR((s_TR)/(s_isospec!B13*s_IFAres_adj)/s_Aeq_Feq!B13,0)</f>
        <v>0</v>
      </c>
      <c r="I15" s="60">
        <f>IFERROR((s_TR)/(s_isospec!C13*s_EFres*(1/365)*s_EDres*s_ETres*(1/24)*s_GSFa)/s_Aeq_Feq!B13,0)</f>
        <v>12537381.180937167</v>
      </c>
      <c r="J15" s="60">
        <f t="shared" si="8"/>
        <v>12537381.180937167</v>
      </c>
      <c r="T15" s="60">
        <f t="shared" si="9"/>
        <v>12537381.180937167</v>
      </c>
      <c r="U15" s="60">
        <f t="shared" si="10"/>
        <v>12537.381180937167</v>
      </c>
      <c r="V15" s="60">
        <f>(U15/1000)*s_Aeq_Feq!G13</f>
        <v>0</v>
      </c>
      <c r="W15" s="60"/>
      <c r="X15" s="60"/>
      <c r="Y15" s="60"/>
      <c r="Z15" s="60">
        <f>IFERROR((s_TR)/(s_isospec!B13*s_EFw*s_EDw*s_ETw*(1/24)*s_IRAw)/s_Aeq_Feq!C13,0)</f>
        <v>0</v>
      </c>
      <c r="AA15" s="60">
        <f>IFERROR((s_TR)/(s_isospec!C13*s_EFw*(1/365)*s_EDw*s_ETw*(1/24)*s_GSFa)/s_Aeq_Feq!C13,0)</f>
        <v>12537381.180937167</v>
      </c>
      <c r="AB15" s="60">
        <f t="shared" si="11"/>
        <v>12537381.180937167</v>
      </c>
    </row>
    <row r="16" spans="1:28" x14ac:dyDescent="0.25">
      <c r="A16" s="57" t="str">
        <f>s_isospec!A14</f>
        <v>Rn-222</v>
      </c>
      <c r="B16" s="59">
        <f>1/(SUM((1/B17),(1/B18),(1/B20),(1/B23),(1/B25),(1/B26),(1/B27),(1/B29)))</f>
        <v>1701.3690559336769</v>
      </c>
      <c r="C16" s="59">
        <f>1/(SUM((1/C17),(1/C18),(1/C20),(1/C23),(1/C25),(1/C26),(1/C27),(1/C29)))</f>
        <v>1.7013690559336772</v>
      </c>
      <c r="D16" s="59">
        <f>IFERROR(1/(1/D17),0)</f>
        <v>7.6068880683600052E-5</v>
      </c>
      <c r="E16" s="59">
        <f>B16/s_AFss</f>
        <v>34027.381118673533</v>
      </c>
      <c r="F16" s="59">
        <f>(B16/s_AFss)/1000</f>
        <v>34.027381118673532</v>
      </c>
      <c r="G16" s="59">
        <f>IFERROR(B16/(s_AFgw*1000*s_isospec!M14),0)</f>
        <v>196.32520872351247</v>
      </c>
      <c r="H16" s="59">
        <f>1/(SUM((1/H17),(1/H20),(1/H23),(1/H26)))</f>
        <v>1720.4356264870457</v>
      </c>
      <c r="I16" s="59">
        <f>1/(SUM((1/I17),(1/I18),(1/I20),(1/I23),(1/I25),(1/I26),(1/I27),(1/I29)))</f>
        <v>153519.791586943</v>
      </c>
      <c r="J16" s="59">
        <f>1/(SUM((1/J17),(1/J18),(1/J20),(1/J23),(1/J25),(1/J26),(1/J27),(1/J29)))</f>
        <v>1701.3690559336769</v>
      </c>
      <c r="T16" s="59">
        <f>1/(SUM((1/T17),(1/T18),(1/T20),(1/T23),(1/T25),(1/T26),(1/T27),(1/T29)))</f>
        <v>500.15890845810475</v>
      </c>
      <c r="U16" s="59">
        <f>1/(SUM((1/U17),(1/U18),(1/U20),(1/U23),(1/U25),(1/U26),(1/U27),(1/U29)))</f>
        <v>0.50015890845810473</v>
      </c>
      <c r="V16" s="59">
        <f>1/(1/V17)</f>
        <v>2.2193761569668835E-5</v>
      </c>
      <c r="W16" s="59">
        <f>T16/s_AFss</f>
        <v>10003.178169162094</v>
      </c>
      <c r="X16" s="59">
        <f>(T16/s_AFss)/1000</f>
        <v>10.003178169162094</v>
      </c>
      <c r="Y16" s="59">
        <f>IFERROR(T16/(s_AFgw*1000*s_isospec!M14),0)</f>
        <v>57.714580946151514</v>
      </c>
      <c r="Z16" s="59">
        <f>1/(SUM((1/Z17),(1/Z20),(1/Z23),(1/Z26)))</f>
        <v>501.79372439205503</v>
      </c>
      <c r="AA16" s="59">
        <f>1/(SUM((1/AA17),(1/AA18),(1/AA20),(1/AA23),(1/AA25),(1/AA26),(1/AA27),(1/AA29)))</f>
        <v>153519.791586943</v>
      </c>
      <c r="AB16" s="59">
        <f>1/(SUM((1/AB17),(1/AB18),(1/AB20),(1/AB23),(1/AB25),(1/AB26),(1/AB27),(1/AB29)))</f>
        <v>500.15890845810475</v>
      </c>
    </row>
    <row r="17" spans="1:37" x14ac:dyDescent="0.25">
      <c r="A17" s="23" t="s">
        <v>1</v>
      </c>
      <c r="B17" s="60">
        <f>J17</f>
        <v>21863.117968843413</v>
      </c>
      <c r="C17" s="60">
        <f t="shared" ref="C17:C18" si="12">MIN(I17:J17)/1000</f>
        <v>21.863117968843412</v>
      </c>
      <c r="D17" s="60">
        <f>(C17/1000)*s_Aeq_Feq!E14</f>
        <v>7.6068880683600052E-5</v>
      </c>
      <c r="E17" s="60"/>
      <c r="F17" s="60"/>
      <c r="G17" s="60"/>
      <c r="H17" s="60">
        <f>IFERROR((s_TR)/(s_isospec!B14*s_IFAres_adj)/s_Aeq_Feq!B14,0)</f>
        <v>21872.863978127141</v>
      </c>
      <c r="I17" s="60">
        <f>IFERROR((s_TR)/(s_isospec!C14*s_EFres*(1/365)*s_EDres*s_ETres*(1/24)*s_GSFa)/s_Aeq_Feq!B14,0)</f>
        <v>49067160.88079007</v>
      </c>
      <c r="J17" s="60">
        <f>IFERROR(IF(AND(H17&lt;&gt;0,I17&lt;&gt;0),1/((1/H17)+(1/I17)),IF(AND(H17&lt;&gt;0,I17=0),1/(1/H17),IF(AND(H17=0,I17&lt;&gt;0),1/(1/I17),IF(AND(H17=0,I17=0),0)))),0)</f>
        <v>21863.117968843413</v>
      </c>
      <c r="T17" s="60">
        <f t="shared" ref="T17:T18" si="13">AB17</f>
        <v>6378.7559776026046</v>
      </c>
      <c r="U17" s="60">
        <f t="shared" ref="U17:U18" si="14">MIN(AA17:AB17)/1000</f>
        <v>6.378755977602605</v>
      </c>
      <c r="V17" s="60">
        <f>(U17/1000)*s_Aeq_Feq!G14</f>
        <v>2.2193761569668835E-5</v>
      </c>
      <c r="W17" s="60"/>
      <c r="X17" s="60"/>
      <c r="Y17" s="60"/>
      <c r="Z17" s="60">
        <f>IFERROR((s_TR)/(s_isospec!B14*s_EFw*s_EDw*s_ETw*(1/24)*s_IRAw)/s_Aeq_Feq!C14,0)</f>
        <v>6379.5853269537483</v>
      </c>
      <c r="AA17" s="60">
        <f>IFERROR((s_TR)/(s_isospec!C14*s_EFw*(1/365)*s_EDw*s_ETw*(1/24)*s_GSFa)/s_Aeq_Feq!C14,0)</f>
        <v>49067160.88079007</v>
      </c>
      <c r="AB17" s="60">
        <f t="shared" ref="AB17:AB18" si="15">IFERROR(IF(AND(Z17&lt;&gt;0,AA17&lt;&gt;0),1/((1/Z17)+(1/AA17)),IF(AND(Z17&lt;&gt;0,AA17=0),1/(1/Z17),IF(AND(Z17=0,AA17&lt;&gt;0),1/(1/AA17),IF(AND(Z17=0,AA17=0),0)))),0)</f>
        <v>6378.7559776026046</v>
      </c>
    </row>
    <row r="18" spans="1:37" x14ac:dyDescent="0.25">
      <c r="A18" s="23" t="s">
        <v>108</v>
      </c>
      <c r="B18" s="60">
        <f>J18</f>
        <v>17831698082481.785</v>
      </c>
      <c r="C18" s="60">
        <f t="shared" si="12"/>
        <v>17831698082.481785</v>
      </c>
      <c r="D18" s="60">
        <f>(C18/1000)*s_Aeq_Feq!E15</f>
        <v>0</v>
      </c>
      <c r="E18" s="60"/>
      <c r="F18" s="60"/>
      <c r="G18" s="60"/>
      <c r="H18" s="60">
        <f>IFERROR((s_TR)/(s_isospec!B15*s_IFAres_adj)/s_Aeq_Feq!B15,0)</f>
        <v>0</v>
      </c>
      <c r="I18" s="60">
        <f>IFERROR((s_TR)/(s_isospec!C15*s_EFres*(1/365)*s_EDres*s_ETres*(1/24)*s_GSFa)/s_Aeq_Feq!B15,0)</f>
        <v>17831698082481.785</v>
      </c>
      <c r="J18" s="60">
        <f t="shared" ref="J18" si="16">IFERROR(IF(AND(H18&lt;&gt;0,I18&lt;&gt;0),1/((1/H18)+(1/I18)),IF(AND(H18&lt;&gt;0,I18=0),1/(1/H18),IF(AND(H18=0,I18&lt;&gt;0),1/(1/I18),IF(AND(H18=0,I18=0),0)))),0)</f>
        <v>17831698082481.785</v>
      </c>
      <c r="T18" s="60">
        <f t="shared" si="13"/>
        <v>17831698082481.785</v>
      </c>
      <c r="U18" s="60">
        <f t="shared" si="14"/>
        <v>17831698082.481785</v>
      </c>
      <c r="V18" s="60">
        <f>(U18/1000)*s_Aeq_Feq!G15</f>
        <v>0</v>
      </c>
      <c r="W18" s="60"/>
      <c r="X18" s="60"/>
      <c r="Y18" s="60"/>
      <c r="Z18" s="60">
        <f>IFERROR((s_TR)/(s_isospec!B15*s_EFw*s_EDw*s_ETw*(1/24)*s_IRAw)/s_Aeq_Feq!C15,0)</f>
        <v>0</v>
      </c>
      <c r="AA18" s="60">
        <f>IFERROR((s_TR)/(s_isospec!C15*s_EFw*(1/365)*s_EDw*s_ETw*(1/24)*s_GSFa)/s_Aeq_Feq!C15,0)</f>
        <v>17831698082481.785</v>
      </c>
      <c r="AB18" s="60">
        <f t="shared" si="15"/>
        <v>17831698082481.785</v>
      </c>
    </row>
    <row r="19" spans="1:37" x14ac:dyDescent="0.25">
      <c r="A19" s="23" t="s">
        <v>173</v>
      </c>
      <c r="B19" s="60">
        <f t="shared" ref="B19:B29" si="17">J19</f>
        <v>0</v>
      </c>
      <c r="C19" s="60">
        <f t="shared" ref="C19:C29" si="18">MIN(I19:J19)/1000</f>
        <v>0</v>
      </c>
      <c r="D19" s="60">
        <f>(C19/1000)*s_Aeq_Feq!E16</f>
        <v>0</v>
      </c>
      <c r="E19" s="60"/>
      <c r="F19" s="60"/>
      <c r="G19" s="60"/>
      <c r="H19" s="60">
        <f>IFERROR((s_TR)/(s_isospec!B16*s_IFAres_adj)/s_Aeq_Feq!B16,0)</f>
        <v>0</v>
      </c>
      <c r="I19" s="60">
        <f>IFERROR((s_TR)/(s_isospec!C16*s_EFres*(1/365)*s_EDres*s_ETres*(1/24)*s_GSFa)/s_Aeq_Feq!B16,0)</f>
        <v>0</v>
      </c>
      <c r="J19" s="60">
        <f t="shared" ref="J19:J29" si="19">IFERROR(IF(AND(H19&lt;&gt;0,I19&lt;&gt;0),1/((1/H19)+(1/I19)),IF(AND(H19&lt;&gt;0,I19=0),1/(1/H19),IF(AND(H19=0,I19&lt;&gt;0),1/(1/I19),IF(AND(H19=0,I19=0),0)))),0)</f>
        <v>0</v>
      </c>
      <c r="T19" s="60">
        <f t="shared" ref="T19:T29" si="20">AB19</f>
        <v>0</v>
      </c>
      <c r="U19" s="60">
        <f t="shared" ref="U19:U29" si="21">MIN(AA19:AB19)/1000</f>
        <v>0</v>
      </c>
      <c r="V19" s="60">
        <f>(U19/1000)*s_Aeq_Feq!G16</f>
        <v>0</v>
      </c>
      <c r="W19" s="60"/>
      <c r="X19" s="60"/>
      <c r="Y19" s="60"/>
      <c r="Z19" s="60">
        <f>IFERROR((s_TR)/(s_isospec!B16*s_EFw*s_EDw*s_ETw*(1/24)*s_IRAw)/s_Aeq_Feq!C16,0)</f>
        <v>0</v>
      </c>
      <c r="AA19" s="60">
        <f>IFERROR((s_TR)/(s_isospec!C16*s_EFw*(1/365)*s_EDw*s_ETw*(1/24)*s_GSFa)/s_Aeq_Feq!C16,0)</f>
        <v>0</v>
      </c>
      <c r="AB19" s="60">
        <f t="shared" ref="AB19:AB29" si="22">IFERROR(IF(AND(Z19&lt;&gt;0,AA19&lt;&gt;0),1/((1/Z19)+(1/AA19)),IF(AND(Z19&lt;&gt;0,AA19=0),1/(1/Z19),IF(AND(Z19=0,AA19&lt;&gt;0),1/(1/AA19),IF(AND(Z19=0,AA19=0),0)))),0)</f>
        <v>0</v>
      </c>
    </row>
    <row r="20" spans="1:37" x14ac:dyDescent="0.25">
      <c r="A20" s="23" t="s">
        <v>109</v>
      </c>
      <c r="B20" s="60">
        <f t="shared" si="17"/>
        <v>14847.328703862941</v>
      </c>
      <c r="C20" s="60">
        <f t="shared" si="18"/>
        <v>14.84732870386294</v>
      </c>
      <c r="D20" s="60">
        <f>(C20/1000)*s_Aeq_Feq!E17</f>
        <v>0</v>
      </c>
      <c r="E20" s="60"/>
      <c r="F20" s="60"/>
      <c r="G20" s="60"/>
      <c r="H20" s="60">
        <f>IFERROR((s_TR)/(s_isospec!B17*s_IFAres_adj)/s_Aeq_Feq!B17,0)</f>
        <v>15853.831635776056</v>
      </c>
      <c r="I20" s="60">
        <f>IFERROR((s_TR)/(s_isospec!C17*s_EFres*(1/365)*s_EDres*s_ETres*(1/24)*s_GSFa)/s_Aeq_Feq!B17,0)</f>
        <v>233866.23332001147</v>
      </c>
      <c r="J20" s="60">
        <f t="shared" si="19"/>
        <v>14847.328703862941</v>
      </c>
      <c r="T20" s="60">
        <f t="shared" si="20"/>
        <v>4534.3798661359451</v>
      </c>
      <c r="U20" s="60">
        <f t="shared" si="21"/>
        <v>4.5343798661359447</v>
      </c>
      <c r="V20" s="60">
        <f>(U20/1000)*s_Aeq_Feq!G17</f>
        <v>0</v>
      </c>
      <c r="W20" s="60"/>
      <c r="X20" s="60"/>
      <c r="Y20" s="60"/>
      <c r="Z20" s="60">
        <f>IFERROR((s_TR)/(s_isospec!B17*s_EFw*s_EDw*s_ETw*(1/24)*s_IRAw)/s_Aeq_Feq!C17,0)</f>
        <v>4624.0342271013496</v>
      </c>
      <c r="AA20" s="60">
        <f>IFERROR((s_TR)/(s_isospec!C17*s_EFw*(1/365)*s_EDw*s_ETw*(1/24)*s_GSFa)/s_Aeq_Feq!C17,0)</f>
        <v>233866.23332001147</v>
      </c>
      <c r="AB20" s="60">
        <f t="shared" si="22"/>
        <v>4534.3798661359451</v>
      </c>
    </row>
    <row r="21" spans="1:37" x14ac:dyDescent="0.25">
      <c r="A21" s="23" t="s">
        <v>174</v>
      </c>
      <c r="B21" s="60">
        <f t="shared" si="17"/>
        <v>0</v>
      </c>
      <c r="C21" s="60">
        <f t="shared" si="18"/>
        <v>0</v>
      </c>
      <c r="D21" s="60">
        <f>(C21/1000)*s_Aeq_Feq!E18</f>
        <v>0</v>
      </c>
      <c r="E21" s="60"/>
      <c r="F21" s="60"/>
      <c r="G21" s="60"/>
      <c r="H21" s="60">
        <f>IFERROR((s_TR)/(s_isospec!B18*s_IFAres_adj)/s_Aeq_Feq!B18,0)</f>
        <v>0</v>
      </c>
      <c r="I21" s="60">
        <f>IFERROR((s_TR)/(s_isospec!C18*s_EFres*(1/365)*s_EDres*s_ETres*(1/24)*s_GSFa)/s_Aeq_Feq!B18,0)</f>
        <v>0</v>
      </c>
      <c r="J21" s="60">
        <f t="shared" si="19"/>
        <v>0</v>
      </c>
      <c r="T21" s="60">
        <f t="shared" si="20"/>
        <v>0</v>
      </c>
      <c r="U21" s="60">
        <f t="shared" si="21"/>
        <v>0</v>
      </c>
      <c r="V21" s="60">
        <f>(U21/1000)*s_Aeq_Feq!G18</f>
        <v>0</v>
      </c>
      <c r="W21" s="60"/>
      <c r="X21" s="60"/>
      <c r="Y21" s="60"/>
      <c r="Z21" s="60">
        <f>IFERROR((s_TR)/(s_isospec!B18*s_EFw*s_EDw*s_ETw*(1/24)*s_IRAw)/s_Aeq_Feq!C18,0)</f>
        <v>0</v>
      </c>
      <c r="AA21" s="60">
        <f>IFERROR((s_TR)/(s_isospec!C18*s_EFw*(1/365)*s_EDw*s_ETw*(1/24)*s_GSFa)/s_Aeq_Feq!C18,0)</f>
        <v>0</v>
      </c>
      <c r="AB21" s="60">
        <f t="shared" si="22"/>
        <v>0</v>
      </c>
    </row>
    <row r="22" spans="1:37" x14ac:dyDescent="0.25">
      <c r="A22" s="23" t="s">
        <v>175</v>
      </c>
      <c r="B22" s="60">
        <f t="shared" si="17"/>
        <v>0</v>
      </c>
      <c r="C22" s="60">
        <f t="shared" si="18"/>
        <v>0</v>
      </c>
      <c r="D22" s="60">
        <f>(C22/1000)*s_Aeq_Feq!E19</f>
        <v>0</v>
      </c>
      <c r="E22" s="60"/>
      <c r="F22" s="60"/>
      <c r="G22" s="60"/>
      <c r="H22" s="60">
        <f>IFERROR((s_TR)/(s_isospec!B19*s_IFAres_adj)/s_Aeq_Feq!B19,0)</f>
        <v>0</v>
      </c>
      <c r="I22" s="60">
        <f>IFERROR((s_TR)/(s_isospec!C19*s_EFres*(1/365)*s_EDres*s_ETres*(1/24)*s_GSFa)/s_Aeq_Feq!B19,0)</f>
        <v>0</v>
      </c>
      <c r="J22" s="60">
        <f t="shared" si="19"/>
        <v>0</v>
      </c>
      <c r="T22" s="60">
        <f t="shared" si="20"/>
        <v>0</v>
      </c>
      <c r="U22" s="60">
        <f t="shared" si="21"/>
        <v>0</v>
      </c>
      <c r="V22" s="60">
        <f>(U22/1000)*s_Aeq_Feq!G19</f>
        <v>0</v>
      </c>
      <c r="W22" s="60"/>
      <c r="X22" s="60"/>
      <c r="Y22" s="60"/>
      <c r="Z22" s="60">
        <f>IFERROR((s_TR)/(s_isospec!B19*s_EFw*s_EDw*s_ETw*(1/24)*s_IRAw)/s_Aeq_Feq!C19,0)</f>
        <v>0</v>
      </c>
      <c r="AA22" s="60">
        <f>IFERROR((s_TR)/(s_isospec!C19*s_EFw*(1/365)*s_EDw*s_ETw*(1/24)*s_GSFa)/s_Aeq_Feq!C19,0)</f>
        <v>0</v>
      </c>
      <c r="AB22" s="60">
        <f t="shared" si="22"/>
        <v>0</v>
      </c>
    </row>
    <row r="23" spans="1:37" x14ac:dyDescent="0.25">
      <c r="A23" s="23" t="s">
        <v>107</v>
      </c>
      <c r="B23" s="60">
        <f t="shared" si="17"/>
        <v>3679.7454088747113</v>
      </c>
      <c r="C23" s="60">
        <f t="shared" si="18"/>
        <v>3.6797454088747115</v>
      </c>
      <c r="D23" s="60">
        <f>(C23/1000)*s_Aeq_Feq!E20</f>
        <v>0</v>
      </c>
      <c r="E23" s="60"/>
      <c r="F23" s="60"/>
      <c r="G23" s="60"/>
      <c r="H23" s="60">
        <f>IFERROR((s_TR)/(s_isospec!B20*s_IFAres_adj)/s_Aeq_Feq!B20,0)</f>
        <v>3709.9954523571378</v>
      </c>
      <c r="I23" s="60">
        <f>IFERROR((s_TR)/(s_isospec!C20*s_EFres*(1/365)*s_EDres*s_ETres*(1/24)*s_GSFa)/s_Aeq_Feq!B20,0)</f>
        <v>451299.80526104302</v>
      </c>
      <c r="J23" s="60">
        <f t="shared" si="19"/>
        <v>3679.7454088747113</v>
      </c>
      <c r="T23" s="60">
        <f t="shared" si="20"/>
        <v>1079.4937037744135</v>
      </c>
      <c r="U23" s="60">
        <f t="shared" si="21"/>
        <v>1.0794937037744134</v>
      </c>
      <c r="V23" s="60">
        <f>(U23/1000)*s_Aeq_Feq!G20</f>
        <v>0</v>
      </c>
      <c r="W23" s="60"/>
      <c r="X23" s="60"/>
      <c r="Y23" s="60"/>
      <c r="Z23" s="60">
        <f>IFERROR((s_TR)/(s_isospec!B20*s_EFw*s_EDw*s_ETw*(1/24)*s_IRAw)/s_Aeq_Feq!C20,0)</f>
        <v>1082.0820069374981</v>
      </c>
      <c r="AA23" s="60">
        <f>IFERROR((s_TR)/(s_isospec!C20*s_EFw*(1/365)*s_EDw*s_ETw*(1/24)*s_GSFa)/s_Aeq_Feq!C20,0)</f>
        <v>451299.80526104302</v>
      </c>
      <c r="AB23" s="60">
        <f t="shared" si="22"/>
        <v>1079.4937037744135</v>
      </c>
    </row>
    <row r="24" spans="1:37" x14ac:dyDescent="0.25">
      <c r="A24" s="23" t="s">
        <v>176</v>
      </c>
      <c r="B24" s="60">
        <f t="shared" si="17"/>
        <v>0</v>
      </c>
      <c r="C24" s="60">
        <f t="shared" si="18"/>
        <v>0</v>
      </c>
      <c r="D24" s="60">
        <f>(C24/1000)*s_Aeq_Feq!E21</f>
        <v>0</v>
      </c>
      <c r="E24" s="60"/>
      <c r="F24" s="60"/>
      <c r="G24" s="60"/>
      <c r="H24" s="60">
        <f>IFERROR((s_TR)/(s_isospec!B21*s_IFAres_adj)/s_Aeq_Feq!B21,0)</f>
        <v>0</v>
      </c>
      <c r="I24" s="60">
        <f>IFERROR((s_TR)/(s_isospec!C21*s_EFres*(1/365)*s_EDres*s_ETres*(1/24)*s_GSFa)/s_Aeq_Feq!B21,0)</f>
        <v>0</v>
      </c>
      <c r="J24" s="60">
        <f t="shared" si="19"/>
        <v>0</v>
      </c>
      <c r="T24" s="60">
        <f t="shared" si="20"/>
        <v>0</v>
      </c>
      <c r="U24" s="60">
        <f t="shared" si="21"/>
        <v>0</v>
      </c>
      <c r="V24" s="60">
        <f>(U24/1000)*s_Aeq_Feq!G21</f>
        <v>0</v>
      </c>
      <c r="W24" s="60"/>
      <c r="X24" s="60"/>
      <c r="Y24" s="60"/>
      <c r="Z24" s="60">
        <f>IFERROR((s_TR)/(s_isospec!B21*s_EFw*s_EDw*s_ETw*(1/24)*s_IRAw)/s_Aeq_Feq!C21,0)</f>
        <v>0</v>
      </c>
      <c r="AA24" s="60">
        <f>IFERROR((s_TR)/(s_isospec!C21*s_EFw*(1/365)*s_EDw*s_ETw*(1/24)*s_GSFa)/s_Aeq_Feq!C21,0)</f>
        <v>0</v>
      </c>
      <c r="AB24" s="60">
        <f t="shared" si="22"/>
        <v>0</v>
      </c>
    </row>
    <row r="25" spans="1:37" x14ac:dyDescent="0.25">
      <c r="A25" s="23" t="s">
        <v>111</v>
      </c>
      <c r="B25" s="60">
        <f t="shared" si="17"/>
        <v>4382535296.6691236</v>
      </c>
      <c r="C25" s="60">
        <f t="shared" si="18"/>
        <v>4382535.2966691237</v>
      </c>
      <c r="D25" s="60">
        <f>(C25/1000)*s_Aeq_Feq!E22</f>
        <v>0</v>
      </c>
      <c r="E25" s="60"/>
      <c r="F25" s="60"/>
      <c r="G25" s="60"/>
      <c r="H25" s="60">
        <f>IFERROR((s_TR)/(s_isospec!B22*s_IFAres_adj)/s_Aeq_Feq!B22,0)</f>
        <v>0</v>
      </c>
      <c r="I25" s="60">
        <f>IFERROR((s_TR)/(s_isospec!C22*s_EFres*(1/365)*s_EDres*s_ETres*(1/24)*s_GSFa)/s_Aeq_Feq!B22,0)</f>
        <v>4382535296.6691236</v>
      </c>
      <c r="J25" s="60">
        <f t="shared" si="19"/>
        <v>4382535296.6691236</v>
      </c>
      <c r="T25" s="60">
        <f t="shared" si="20"/>
        <v>4382535296.6691236</v>
      </c>
      <c r="U25" s="60">
        <f t="shared" si="21"/>
        <v>4382535.2966691237</v>
      </c>
      <c r="V25" s="60">
        <f>(U25/1000)*s_Aeq_Feq!G22</f>
        <v>0</v>
      </c>
      <c r="W25" s="60"/>
      <c r="X25" s="60"/>
      <c r="Y25" s="60"/>
      <c r="Z25" s="60">
        <f>IFERROR((s_TR)/(s_isospec!B22*s_EFw*s_EDw*s_ETw*(1/24)*s_IRAw)/s_Aeq_Feq!C22,0)</f>
        <v>0</v>
      </c>
      <c r="AA25" s="60">
        <f>IFERROR((s_TR)/(s_isospec!C22*s_EFw*(1/365)*s_EDw*s_ETw*(1/24)*s_GSFa)/s_Aeq_Feq!C22,0)</f>
        <v>4382535296.6691236</v>
      </c>
      <c r="AB25" s="60">
        <f t="shared" si="22"/>
        <v>4382535296.6691236</v>
      </c>
    </row>
    <row r="26" spans="1:37" x14ac:dyDescent="0.25">
      <c r="A26" s="23" t="s">
        <v>106</v>
      </c>
      <c r="B26" s="60">
        <f t="shared" si="17"/>
        <v>4928.2680233005813</v>
      </c>
      <c r="C26" s="60">
        <f t="shared" si="18"/>
        <v>4.9282680233005811</v>
      </c>
      <c r="D26" s="60">
        <f>(C26/1000)*s_Aeq_Feq!E23</f>
        <v>0</v>
      </c>
      <c r="E26" s="60"/>
      <c r="F26" s="60"/>
      <c r="G26" s="60"/>
      <c r="H26" s="60">
        <f>IFERROR((s_TR)/(s_isospec!B23*s_IFAres_adj)/s_Aeq_Feq!B23,0)</f>
        <v>4928.2680320707041</v>
      </c>
      <c r="I26" s="60">
        <f>IFERROR((s_TR)/(s_isospec!C23*s_EFres*(1/365)*s_EDres*s_ETres*(1/24)*s_GSFa)/s_Aeq_Feq!B23,0)</f>
        <v>2769382516217.9595</v>
      </c>
      <c r="J26" s="60">
        <f t="shared" si="19"/>
        <v>4928.2680233005813</v>
      </c>
      <c r="T26" s="60">
        <f t="shared" si="20"/>
        <v>1437.4115086078862</v>
      </c>
      <c r="U26" s="60">
        <f t="shared" si="21"/>
        <v>1.4374115086078862</v>
      </c>
      <c r="V26" s="60">
        <f>(U26/1000)*s_Aeq_Feq!G23</f>
        <v>0</v>
      </c>
      <c r="W26" s="60"/>
      <c r="X26" s="60"/>
      <c r="Y26" s="60"/>
      <c r="Z26" s="60">
        <f>IFERROR((s_TR)/(s_isospec!B23*s_EFw*s_EDw*s_ETw*(1/24)*s_IRAw)/s_Aeq_Feq!C23,0)</f>
        <v>1437.4115093539556</v>
      </c>
      <c r="AA26" s="60">
        <f>IFERROR((s_TR)/(s_isospec!C23*s_EFw*(1/365)*s_EDw*s_ETw*(1/24)*s_GSFa)/s_Aeq_Feq!C23,0)</f>
        <v>2769382516217.9595</v>
      </c>
      <c r="AB26" s="60">
        <f t="shared" si="22"/>
        <v>1437.4115086078862</v>
      </c>
    </row>
    <row r="27" spans="1:37" x14ac:dyDescent="0.25">
      <c r="A27" s="23" t="s">
        <v>110</v>
      </c>
      <c r="B27" s="60">
        <f t="shared" si="17"/>
        <v>172168119417065.53</v>
      </c>
      <c r="C27" s="60">
        <f t="shared" si="18"/>
        <v>172168119417.06552</v>
      </c>
      <c r="D27" s="60">
        <f>(C27/1000)*s_Aeq_Feq!E24</f>
        <v>0</v>
      </c>
      <c r="E27" s="60"/>
      <c r="F27" s="60"/>
      <c r="G27" s="60"/>
      <c r="H27" s="60">
        <f>IFERROR((s_TR)/(s_isospec!B24*s_IFAres_adj)/s_Aeq_Feq!B24,0)</f>
        <v>0</v>
      </c>
      <c r="I27" s="60">
        <f>IFERROR((s_TR)/(s_isospec!C24*s_EFres*(1/365)*s_EDres*s_ETres*(1/24)*s_GSFa)/s_Aeq_Feq!B24,0)</f>
        <v>172168119417065.53</v>
      </c>
      <c r="J27" s="60">
        <f t="shared" si="19"/>
        <v>172168119417065.53</v>
      </c>
      <c r="T27" s="60">
        <f t="shared" si="20"/>
        <v>172168119417065.53</v>
      </c>
      <c r="U27" s="60">
        <f t="shared" si="21"/>
        <v>172168119417.06552</v>
      </c>
      <c r="V27" s="60">
        <f>(U27/1000)*s_Aeq_Feq!G24</f>
        <v>0</v>
      </c>
      <c r="W27" s="60"/>
      <c r="X27" s="60"/>
      <c r="Y27" s="60"/>
      <c r="Z27" s="60">
        <f>IFERROR((s_TR)/(s_isospec!B24*s_EFw*s_EDw*s_ETw*(1/24)*s_IRAw)/s_Aeq_Feq!C24,0)</f>
        <v>0</v>
      </c>
      <c r="AA27" s="60">
        <f>IFERROR((s_TR)/(s_isospec!C24*s_EFw*(1/365)*s_EDw*s_ETw*(1/24)*s_GSFa)/s_Aeq_Feq!C24,0)</f>
        <v>172168119417065.53</v>
      </c>
      <c r="AB27" s="60">
        <f t="shared" si="22"/>
        <v>172168119417065.53</v>
      </c>
    </row>
    <row r="28" spans="1:37" x14ac:dyDescent="0.25">
      <c r="A28" s="23" t="s">
        <v>177</v>
      </c>
      <c r="B28" s="60">
        <f t="shared" si="17"/>
        <v>0</v>
      </c>
      <c r="C28" s="60">
        <f t="shared" si="18"/>
        <v>0</v>
      </c>
      <c r="D28" s="60">
        <f>(C28/1000)*s_Aeq_Feq!E25</f>
        <v>0</v>
      </c>
      <c r="E28" s="60"/>
      <c r="F28" s="60"/>
      <c r="G28" s="60"/>
      <c r="H28" s="60">
        <f>IFERROR((s_TR)/(s_isospec!B25*s_IFAres_adj)/s_Aeq_Feq!B25,0)</f>
        <v>0</v>
      </c>
      <c r="I28" s="60">
        <f>IFERROR((s_TR)/(s_isospec!C25*s_EFres*(1/365)*s_EDres*s_ETres*(1/24)*s_GSFa)/s_Aeq_Feq!B25,0)</f>
        <v>0</v>
      </c>
      <c r="J28" s="60">
        <f t="shared" si="19"/>
        <v>0</v>
      </c>
      <c r="T28" s="60">
        <f t="shared" si="20"/>
        <v>0</v>
      </c>
      <c r="U28" s="60">
        <f t="shared" si="21"/>
        <v>0</v>
      </c>
      <c r="V28" s="60">
        <f>(U28/1000)*s_Aeq_Feq!G25</f>
        <v>0</v>
      </c>
      <c r="W28" s="60"/>
      <c r="X28" s="60"/>
      <c r="Y28" s="60"/>
      <c r="Z28" s="60">
        <f>IFERROR((s_TR)/(s_isospec!B25*s_EFw*s_EDw*s_ETw*(1/24)*s_IRAw)/s_Aeq_Feq!C25,0)</f>
        <v>0</v>
      </c>
      <c r="AA28" s="60">
        <f>IFERROR((s_TR)/(s_isospec!C25*s_EFw*(1/365)*s_EDw*s_ETw*(1/24)*s_GSFa)/s_Aeq_Feq!C25,0)</f>
        <v>0</v>
      </c>
      <c r="AB28" s="60">
        <f t="shared" si="22"/>
        <v>0</v>
      </c>
    </row>
    <row r="29" spans="1:37" x14ac:dyDescent="0.25">
      <c r="A29" s="23" t="s">
        <v>112</v>
      </c>
      <c r="B29" s="60">
        <f t="shared" si="17"/>
        <v>695052747.83867168</v>
      </c>
      <c r="C29" s="60">
        <f t="shared" si="18"/>
        <v>695052.74783867167</v>
      </c>
      <c r="D29" s="60">
        <f>(C29/1000)*s_Aeq_Feq!E26</f>
        <v>0</v>
      </c>
      <c r="E29" s="60"/>
      <c r="F29" s="60"/>
      <c r="G29" s="60"/>
      <c r="H29" s="60">
        <f>IFERROR((s_TR)/(s_isospec!B26*s_IFAres_adj)/s_Aeq_Feq!B26,0)</f>
        <v>0</v>
      </c>
      <c r="I29" s="60">
        <f>IFERROR((s_TR)/(s_isospec!C26*s_EFres*(1/365)*s_EDres*s_ETres*(1/24)*s_GSFa)/s_Aeq_Feq!B26,0)</f>
        <v>695052747.83867168</v>
      </c>
      <c r="J29" s="60">
        <f t="shared" si="19"/>
        <v>695052747.83867168</v>
      </c>
      <c r="T29" s="60">
        <f t="shared" si="20"/>
        <v>695052747.83867168</v>
      </c>
      <c r="U29" s="60">
        <f t="shared" si="21"/>
        <v>695052.74783867167</v>
      </c>
      <c r="V29" s="60">
        <f>(U29/1000)*s_Aeq_Feq!G26</f>
        <v>0</v>
      </c>
      <c r="W29" s="60"/>
      <c r="X29" s="60"/>
      <c r="Y29" s="60"/>
      <c r="Z29" s="60">
        <f>IFERROR((s_TR)/(s_isospec!B26*s_EFw*s_EDw*s_ETw*(1/24)*s_IRAw)/s_Aeq_Feq!C26,0)</f>
        <v>0</v>
      </c>
      <c r="AA29" s="60">
        <f>IFERROR((s_TR)/(s_isospec!C26*s_EFw*(1/365)*s_EDw*s_ETw*(1/24)*s_GSFa)/s_Aeq_Feq!C26,0)</f>
        <v>695052747.83867168</v>
      </c>
      <c r="AB29" s="60">
        <f t="shared" si="22"/>
        <v>695052747.83867168</v>
      </c>
    </row>
    <row r="30" spans="1:37" ht="19.5" thickBot="1" x14ac:dyDescent="0.35">
      <c r="A30" s="57"/>
      <c r="B30" s="116" t="s">
        <v>133</v>
      </c>
      <c r="C30" s="116"/>
      <c r="D30" s="116"/>
      <c r="E30" s="116"/>
      <c r="F30" s="116"/>
      <c r="G30" s="116"/>
      <c r="H30" s="116" t="s">
        <v>133</v>
      </c>
      <c r="I30" s="116"/>
      <c r="J30" s="116"/>
      <c r="K30" s="116"/>
      <c r="L30" s="116"/>
      <c r="M30" s="116"/>
      <c r="N30" s="116" t="s">
        <v>133</v>
      </c>
      <c r="O30" s="116"/>
      <c r="P30" s="116"/>
      <c r="Q30" s="116"/>
      <c r="R30" s="116"/>
      <c r="S30" s="116"/>
      <c r="T30" s="117" t="s">
        <v>134</v>
      </c>
      <c r="U30" s="117"/>
      <c r="V30" s="117"/>
      <c r="W30" s="117"/>
      <c r="X30" s="117"/>
      <c r="Y30" s="117"/>
      <c r="Z30" s="117" t="s">
        <v>134</v>
      </c>
      <c r="AA30" s="117"/>
      <c r="AB30" s="117"/>
      <c r="AC30" s="117"/>
      <c r="AD30" s="117"/>
      <c r="AE30" s="117"/>
      <c r="AF30" s="117" t="s">
        <v>134</v>
      </c>
      <c r="AG30" s="117"/>
      <c r="AH30" s="117"/>
      <c r="AI30" s="117"/>
      <c r="AJ30" s="117"/>
      <c r="AK30" s="117"/>
    </row>
    <row r="31" spans="1:37" ht="16.5" customHeight="1" x14ac:dyDescent="0.25">
      <c r="A31" s="62" t="s">
        <v>81</v>
      </c>
      <c r="B31" s="118" t="s">
        <v>178</v>
      </c>
      <c r="C31" s="112" t="s">
        <v>127</v>
      </c>
      <c r="D31" s="113"/>
      <c r="E31" s="112" t="s">
        <v>124</v>
      </c>
      <c r="F31" s="114"/>
      <c r="G31" s="115"/>
      <c r="H31" s="120" t="s">
        <v>151</v>
      </c>
      <c r="I31" s="112" t="s">
        <v>129</v>
      </c>
      <c r="J31" s="113"/>
      <c r="K31" s="112" t="s">
        <v>130</v>
      </c>
      <c r="L31" s="114"/>
      <c r="M31" s="115"/>
      <c r="N31" s="120" t="s">
        <v>152</v>
      </c>
      <c r="O31" s="112" t="s">
        <v>131</v>
      </c>
      <c r="P31" s="113"/>
      <c r="Q31" s="112" t="s">
        <v>132</v>
      </c>
      <c r="R31" s="114"/>
      <c r="S31" s="115"/>
      <c r="T31" s="118" t="s">
        <v>178</v>
      </c>
      <c r="U31" s="112" t="s">
        <v>127</v>
      </c>
      <c r="V31" s="113"/>
      <c r="W31" s="112" t="s">
        <v>124</v>
      </c>
      <c r="X31" s="114"/>
      <c r="Y31" s="115"/>
      <c r="Z31" s="110" t="s">
        <v>126</v>
      </c>
      <c r="AA31" s="112" t="s">
        <v>129</v>
      </c>
      <c r="AB31" s="113"/>
      <c r="AC31" s="112" t="s">
        <v>130</v>
      </c>
      <c r="AD31" s="114"/>
      <c r="AE31" s="115"/>
      <c r="AF31" s="110" t="s">
        <v>128</v>
      </c>
      <c r="AG31" s="112" t="s">
        <v>131</v>
      </c>
      <c r="AH31" s="113"/>
      <c r="AI31" s="112" t="s">
        <v>132</v>
      </c>
      <c r="AJ31" s="114"/>
      <c r="AK31" s="115"/>
    </row>
    <row r="32" spans="1:37" ht="16.5" customHeight="1" x14ac:dyDescent="0.25">
      <c r="A32" s="57" t="s">
        <v>186</v>
      </c>
      <c r="B32" s="119"/>
      <c r="C32" s="63" t="s">
        <v>120</v>
      </c>
      <c r="D32" s="64" t="s">
        <v>121</v>
      </c>
      <c r="E32" s="63" t="s">
        <v>118</v>
      </c>
      <c r="F32" s="65" t="s">
        <v>119</v>
      </c>
      <c r="G32" s="66" t="s">
        <v>122</v>
      </c>
      <c r="H32" s="121"/>
      <c r="I32" s="63" t="s">
        <v>120</v>
      </c>
      <c r="J32" s="64" t="s">
        <v>121</v>
      </c>
      <c r="K32" s="63" t="s">
        <v>118</v>
      </c>
      <c r="L32" s="65" t="s">
        <v>119</v>
      </c>
      <c r="M32" s="66" t="s">
        <v>122</v>
      </c>
      <c r="N32" s="121"/>
      <c r="O32" s="63" t="s">
        <v>120</v>
      </c>
      <c r="P32" s="64" t="s">
        <v>121</v>
      </c>
      <c r="Q32" s="63" t="s">
        <v>118</v>
      </c>
      <c r="R32" s="65" t="s">
        <v>119</v>
      </c>
      <c r="S32" s="66" t="s">
        <v>122</v>
      </c>
      <c r="T32" s="119"/>
      <c r="U32" s="63" t="s">
        <v>120</v>
      </c>
      <c r="V32" s="64" t="s">
        <v>121</v>
      </c>
      <c r="W32" s="63" t="s">
        <v>118</v>
      </c>
      <c r="X32" s="65" t="s">
        <v>119</v>
      </c>
      <c r="Y32" s="66" t="s">
        <v>122</v>
      </c>
      <c r="Z32" s="111"/>
      <c r="AA32" s="63" t="s">
        <v>120</v>
      </c>
      <c r="AB32" s="64" t="s">
        <v>121</v>
      </c>
      <c r="AC32" s="63" t="s">
        <v>118</v>
      </c>
      <c r="AD32" s="65" t="s">
        <v>119</v>
      </c>
      <c r="AE32" s="66" t="s">
        <v>122</v>
      </c>
      <c r="AF32" s="111"/>
      <c r="AG32" s="63" t="s">
        <v>120</v>
      </c>
      <c r="AH32" s="64" t="s">
        <v>121</v>
      </c>
      <c r="AI32" s="63" t="s">
        <v>118</v>
      </c>
      <c r="AJ32" s="65" t="s">
        <v>119</v>
      </c>
      <c r="AK32" s="66" t="s">
        <v>122</v>
      </c>
    </row>
    <row r="33" spans="1:37" x14ac:dyDescent="0.25">
      <c r="A33" s="57" t="str">
        <f>s_isospec!A2</f>
        <v>Rn-219</v>
      </c>
      <c r="B33" s="102" t="s">
        <v>169</v>
      </c>
      <c r="C33" s="103" t="s">
        <v>179</v>
      </c>
      <c r="D33" s="104">
        <f>Cia_219*(s_Aeq_Feq!$E$2)</f>
        <v>4.5950874382716051E-3</v>
      </c>
      <c r="E33" s="67">
        <f>IF(SUM(E34:E39)&lt;0.01,SUM(E34:E39),1-EXP(-SUM(E34:E39)))</f>
        <v>7.5653933723958316E-5</v>
      </c>
      <c r="F33" s="67">
        <f t="shared" ref="F33:G33" si="23">IF(SUM(F34:F39)&lt;0.01,SUM(F34:F39),1-EXP(-SUM(F34:F39)))</f>
        <v>2.0176111303561425E-6</v>
      </c>
      <c r="G33" s="67">
        <f t="shared" si="23"/>
        <v>7.7671544854314453E-5</v>
      </c>
      <c r="H33" s="102" t="s">
        <v>169</v>
      </c>
      <c r="I33" s="103" t="s">
        <v>179</v>
      </c>
      <c r="J33" s="104">
        <f>(H34/1000)*(s_Aeq_Feq!$E$2)</f>
        <v>3.3379243294136058E-5</v>
      </c>
      <c r="K33" s="67">
        <f>IF(SUM(K34:K39)&lt;0.01,SUM(K34:K39),1-EXP(-SUM(K34:K39)))</f>
        <v>5.4955886995706547E-7</v>
      </c>
      <c r="L33" s="67">
        <f t="shared" ref="L33:M33" si="24">IF(SUM(L34:L39)&lt;0.01,SUM(L34:L39),1-EXP(-SUM(L34:L39)))</f>
        <v>1.4656159147745442E-8</v>
      </c>
      <c r="M33" s="67">
        <f t="shared" si="24"/>
        <v>5.6421502910481093E-7</v>
      </c>
      <c r="N33" s="102" t="s">
        <v>169</v>
      </c>
      <c r="O33" s="103" t="s">
        <v>179</v>
      </c>
      <c r="P33" s="104">
        <f>(N34/1000)*(s_Aeq_Feq!$E$2)</f>
        <v>2.2975437191358025E-7</v>
      </c>
      <c r="Q33" s="67">
        <f>IF(SUM(Q34:Q39)&lt;0.01,SUM(Q34:Q39),1-EXP(-SUM(Q34:Q39)))</f>
        <v>3.7826966861979157E-9</v>
      </c>
      <c r="R33" s="67">
        <f t="shared" ref="R33:S33" si="25">IF(SUM(R34:R39)&lt;0.01,SUM(R34:R39),1-EXP(-SUM(R34:R39)))</f>
        <v>1.0088055651780714E-10</v>
      </c>
      <c r="S33" s="67">
        <f t="shared" si="25"/>
        <v>3.8835772427157221E-9</v>
      </c>
      <c r="T33" s="102" t="s">
        <v>169</v>
      </c>
      <c r="U33" s="103" t="s">
        <v>179</v>
      </c>
      <c r="V33" s="104">
        <f>Cia_219*(s_Aeq_Feq!$G$2)</f>
        <v>4.5950874382716051E-3</v>
      </c>
      <c r="W33" s="67">
        <f>IF(SUM(W34:W39)&lt;0.01,SUM(W34:W39),1-EXP(-SUM(W34:W39)))</f>
        <v>2.5938491562499996E-4</v>
      </c>
      <c r="X33" s="67">
        <f t="shared" ref="X33:Y33" si="26">IF(SUM(X34:X39)&lt;0.01,SUM(X34:X39),1-EXP(-SUM(X34:X39)))</f>
        <v>2.0176111303561425E-6</v>
      </c>
      <c r="Y33" s="67">
        <f t="shared" si="26"/>
        <v>2.6140252675535612E-4</v>
      </c>
      <c r="Z33" s="102" t="s">
        <v>169</v>
      </c>
      <c r="AA33" s="103" t="s">
        <v>179</v>
      </c>
      <c r="AB33" s="104">
        <f>(Z34/1000)*(s_Aeq_Feq!$G$2)</f>
        <v>3.3379243294136058E-5</v>
      </c>
      <c r="AC33" s="67">
        <f>IF(SUM(AC34:AC39)&lt;0.01,SUM(AC34:AC39),1-EXP(-SUM(AC34:AC39)))</f>
        <v>1.8842018398527956E-6</v>
      </c>
      <c r="AD33" s="67">
        <f t="shared" ref="AD33:AE33" si="27">IF(SUM(AD34:AD39)&lt;0.01,SUM(AD34:AD39),1-EXP(-SUM(AD34:AD39)))</f>
        <v>1.4656159147745442E-8</v>
      </c>
      <c r="AE33" s="67">
        <f t="shared" si="27"/>
        <v>1.898857999000541E-6</v>
      </c>
      <c r="AF33" s="102" t="s">
        <v>169</v>
      </c>
      <c r="AG33" s="103" t="s">
        <v>179</v>
      </c>
      <c r="AH33" s="104">
        <f>(AF34/1000)*(s_Aeq_Feq!$G$2)</f>
        <v>2.2975437191358025E-7</v>
      </c>
      <c r="AI33" s="67">
        <f>IF(SUM(AI34:AI39)&lt;0.01,SUM(AI34:AI39),1-EXP(-SUM(AI34:AI39)))</f>
        <v>1.296924578125E-8</v>
      </c>
      <c r="AJ33" s="67">
        <f t="shared" ref="AJ33:AK33" si="28">IF(SUM(AJ34:AJ39)&lt;0.01,SUM(AJ34:AJ39),1-EXP(-SUM(AJ34:AJ39)))</f>
        <v>1.0088055651780714E-10</v>
      </c>
      <c r="AK33" s="67">
        <f t="shared" si="28"/>
        <v>1.3070126337767807E-8</v>
      </c>
    </row>
    <row r="34" spans="1:37" x14ac:dyDescent="0.25">
      <c r="A34" s="57" t="str">
        <f>s_isospec!A2</f>
        <v>Rn-219</v>
      </c>
      <c r="B34" s="75">
        <f>Cia_219*1000</f>
        <v>5000</v>
      </c>
      <c r="C34" s="71">
        <f t="shared" ref="C34:C39" si="29">IFERROR(B34*s_IFAres_adj,".")</f>
        <v>10026041.666666666</v>
      </c>
      <c r="D34" s="72">
        <f t="shared" ref="D34:D39" si="30">IFERROR(B34*s_EFres*(1/365)*s_EDres*s_ETres*(1/24)*s_GSFa,".")</f>
        <v>6278.5388127853876</v>
      </c>
      <c r="E34" s="71">
        <f>C34*s_isospec!$B2</f>
        <v>0</v>
      </c>
      <c r="F34" s="73">
        <f>D34*s_isospec!$C2</f>
        <v>1.4955276328767123E-6</v>
      </c>
      <c r="G34" s="74">
        <f>SUM(E34:F34)</f>
        <v>1.4955276328767123E-6</v>
      </c>
      <c r="H34" s="70">
        <f>IFERROR(Cia_219*(s_AFgw*1000*s_isospec!$M2),".")</f>
        <v>36.320574681698901</v>
      </c>
      <c r="I34" s="71">
        <f t="shared" ref="I34:I39" si="31">IFERROR(H34*s_IFAres_adj,".")</f>
        <v>72830.319023198317</v>
      </c>
      <c r="J34" s="72">
        <f t="shared" ref="J34:J39" si="32">IFERROR(H34*s_EFres*(1/365)*s_EDres*s_ETres*(1/24)*s_GSFa,".")</f>
        <v>45.60802756834336</v>
      </c>
      <c r="K34" s="71">
        <f>IFERROR(I34*s_isospec!$B2,".")</f>
        <v>0</v>
      </c>
      <c r="L34" s="73">
        <f>IFERROR(J34*s_isospec!$C2,".")</f>
        <v>1.08636846156886E-8</v>
      </c>
      <c r="M34" s="74">
        <f>SUM(K34:L34)</f>
        <v>1.08636846156886E-8</v>
      </c>
      <c r="N34" s="70">
        <f>Cia_219*s_AFss</f>
        <v>0.25</v>
      </c>
      <c r="O34" s="71">
        <f t="shared" ref="O34:O39" si="33">IFERROR(N34*s_IFAres_adj,".")</f>
        <v>501.30208333333331</v>
      </c>
      <c r="P34" s="72">
        <f t="shared" ref="P34:P39" si="34">IFERROR(N34*s_EFres*(1/365)*s_EDres*s_ETres*(1/24)*s_GSFa,".")</f>
        <v>0.31392694063926935</v>
      </c>
      <c r="Q34" s="71">
        <f>O34*s_isospec!$B2</f>
        <v>0</v>
      </c>
      <c r="R34" s="73">
        <f>P34*s_isospec!$C2</f>
        <v>7.4776381643835601E-11</v>
      </c>
      <c r="S34" s="74">
        <f>SUM(Q34:R34)</f>
        <v>7.4776381643835601E-11</v>
      </c>
      <c r="T34" s="75">
        <f>Cia_219*1000</f>
        <v>5000</v>
      </c>
      <c r="U34" s="71">
        <f>IFERROR(T34*s_EFw*s_EDw*s_ETw*(1/24)*s_IRAw,".")</f>
        <v>34375000</v>
      </c>
      <c r="V34" s="72">
        <f>IFERROR(T34*s_EFw*(1/365)*s_EDw*s_ETw*(1/24)*s_GSFa,".")</f>
        <v>6278.5388127853876</v>
      </c>
      <c r="W34" s="71">
        <f>U34*s_isospec!$B2</f>
        <v>0</v>
      </c>
      <c r="X34" s="73">
        <f>V34*s_isospec!$C2</f>
        <v>1.4955276328767123E-6</v>
      </c>
      <c r="Y34" s="74">
        <f>SUM(W34:X34)</f>
        <v>1.4955276328767123E-6</v>
      </c>
      <c r="Z34" s="70">
        <f>IFERROR(Cia_219*(s_AFgw*1000*s_isospec!$M2),".")</f>
        <v>36.320574681698901</v>
      </c>
      <c r="AA34" s="71">
        <f>IFERROR(Z34*s_EFw*s_EDw*s_ETw*(1/24)*s_IRAw,".")</f>
        <v>249703.95093667993</v>
      </c>
      <c r="AB34" s="72">
        <f>IFERROR(Z34*s_EFw*(1/365)*s_EDw*s_ETw*(1/24)*s_GSFa,".")</f>
        <v>45.60802756834336</v>
      </c>
      <c r="AC34" s="71">
        <f>IFERROR(AA34*s_isospec!$B2,".")</f>
        <v>0</v>
      </c>
      <c r="AD34" s="73">
        <f>IFERROR(AB34*s_isospec!$C2,".")</f>
        <v>1.08636846156886E-8</v>
      </c>
      <c r="AE34" s="74">
        <f>SUM(AC34:AD34)</f>
        <v>1.08636846156886E-8</v>
      </c>
      <c r="AF34" s="70">
        <f>Cia_219*s_AFss</f>
        <v>0.25</v>
      </c>
      <c r="AG34" s="71">
        <f>IFERROR(AF34*s_EFw*s_EDw*s_ETw*(1/24)*s_IRAw,".")</f>
        <v>1718.75</v>
      </c>
      <c r="AH34" s="72">
        <f>IFERROR(AF34*s_EFw*(1/365)*s_EDw*s_ETw*(1/24)*s_GSFa,".")</f>
        <v>0.31392694063926935</v>
      </c>
      <c r="AI34" s="71">
        <f>AG34*s_isospec!$B2</f>
        <v>0</v>
      </c>
      <c r="AJ34" s="73">
        <f>AH34*s_isospec!$C2</f>
        <v>7.4776381643835601E-11</v>
      </c>
      <c r="AK34" s="74">
        <f>SUM(AI34:AJ34)</f>
        <v>7.4776381643835601E-11</v>
      </c>
    </row>
    <row r="35" spans="1:37" x14ac:dyDescent="0.25">
      <c r="A35" s="57" t="str">
        <f>s_isospec!A3</f>
        <v>Rn-219~Bi-211</v>
      </c>
      <c r="B35" s="70">
        <f>B$34*s_Aeq_Feq!$B3</f>
        <v>743.99999999999989</v>
      </c>
      <c r="C35" s="71">
        <f t="shared" si="29"/>
        <v>1491874.9999999998</v>
      </c>
      <c r="D35" s="72">
        <f t="shared" si="30"/>
        <v>934.24657534246546</v>
      </c>
      <c r="E35" s="71">
        <f>C35*s_isospec!$B3</f>
        <v>0</v>
      </c>
      <c r="F35" s="73">
        <f>D35*s_isospec!$C3</f>
        <v>1.7890029377753418E-7</v>
      </c>
      <c r="G35" s="74">
        <f t="shared" ref="G35:G39" si="35">SUM(E35:F35)</f>
        <v>1.7890029377753418E-7</v>
      </c>
      <c r="H35" s="70">
        <f>H$34*s_Aeq_Feq!$B3</f>
        <v>5.4045015126367959</v>
      </c>
      <c r="I35" s="71">
        <f t="shared" si="31"/>
        <v>10837.151470651908</v>
      </c>
      <c r="J35" s="72">
        <f t="shared" si="32"/>
        <v>6.7864745021694919</v>
      </c>
      <c r="K35" s="71">
        <f>IFERROR(I35*s_isospec!$B3,".")</f>
        <v>0</v>
      </c>
      <c r="L35" s="73">
        <f>IFERROR(J35*s_isospec!$C3,".")</f>
        <v>1.299552296144961E-9</v>
      </c>
      <c r="M35" s="74">
        <f t="shared" ref="M35:M39" si="36">SUM(K35:L35)</f>
        <v>1.299552296144961E-9</v>
      </c>
      <c r="N35" s="70">
        <f>N$34*s_Aeq_Feq!$B3</f>
        <v>3.7199999999999997E-2</v>
      </c>
      <c r="O35" s="71">
        <f t="shared" si="33"/>
        <v>74.593749999999986</v>
      </c>
      <c r="P35" s="72">
        <f t="shared" si="34"/>
        <v>4.6712328767123279E-2</v>
      </c>
      <c r="Q35" s="71">
        <f>O35*s_isospec!$B3</f>
        <v>0</v>
      </c>
      <c r="R35" s="73">
        <f>P35*s_isospec!$C3</f>
        <v>8.94501468887671E-12</v>
      </c>
      <c r="S35" s="74">
        <f t="shared" ref="S35:S39" si="37">SUM(Q35:R35)</f>
        <v>8.94501468887671E-12</v>
      </c>
      <c r="T35" s="70">
        <f>T$34*s_Aeq_Feq!$C3</f>
        <v>743.99999999999989</v>
      </c>
      <c r="U35" s="71">
        <f>IFERROR(T35*s_EFw*s_EDw*s_ETw*(1/24)*s_IRAw,".")</f>
        <v>5114999.9999999991</v>
      </c>
      <c r="V35" s="72">
        <f>IFERROR(T35*s_EFw*(1/365)*s_EDw*s_ETw*(1/24)*s_GSFa,".")</f>
        <v>934.24657534246546</v>
      </c>
      <c r="W35" s="71">
        <f>U35*s_isospec!$B3</f>
        <v>0</v>
      </c>
      <c r="X35" s="73">
        <f>V35*s_isospec!$C3</f>
        <v>1.7890029377753418E-7</v>
      </c>
      <c r="Y35" s="74">
        <f t="shared" ref="Y35:Y39" si="38">SUM(W35:X35)</f>
        <v>1.7890029377753418E-7</v>
      </c>
      <c r="Z35" s="70">
        <f>Z$34*s_Aeq_Feq!$C3</f>
        <v>5.4045015126367959</v>
      </c>
      <c r="AA35" s="71">
        <f>IFERROR(Z35*s_EFw*s_EDw*s_ETw*(1/24)*s_IRAw,".")</f>
        <v>37155.94789937797</v>
      </c>
      <c r="AB35" s="72">
        <f>IFERROR(Z35*s_EFw*(1/365)*s_EDw*s_ETw*(1/24)*s_GSFa,".")</f>
        <v>6.7864745021694919</v>
      </c>
      <c r="AC35" s="71">
        <f>IFERROR(AA35*s_isospec!$B3,".")</f>
        <v>0</v>
      </c>
      <c r="AD35" s="73">
        <f>IFERROR(AB35*s_isospec!$C3,".")</f>
        <v>1.299552296144961E-9</v>
      </c>
      <c r="AE35" s="74">
        <f t="shared" ref="AE35:AE39" si="39">SUM(AC35:AD35)</f>
        <v>1.299552296144961E-9</v>
      </c>
      <c r="AF35" s="70">
        <f>AF$34*s_Aeq_Feq!$C3</f>
        <v>3.7199999999999997E-2</v>
      </c>
      <c r="AG35" s="71">
        <f>IFERROR(AF35*s_EFw*s_EDw*s_ETw*(1/24)*s_IRAw,".")</f>
        <v>255.74999999999994</v>
      </c>
      <c r="AH35" s="72">
        <f>IFERROR(AF35*s_EFw*(1/365)*s_EDw*s_ETw*(1/24)*s_GSFa,".")</f>
        <v>4.6712328767123279E-2</v>
      </c>
      <c r="AI35" s="71">
        <f>AG35*s_isospec!$B3</f>
        <v>0</v>
      </c>
      <c r="AJ35" s="73">
        <f>AH35*s_isospec!$C3</f>
        <v>8.94501468887671E-12</v>
      </c>
      <c r="AK35" s="74">
        <f t="shared" ref="AK35:AK39" si="40">SUM(AI35:AJ35)</f>
        <v>8.94501468887671E-12</v>
      </c>
    </row>
    <row r="36" spans="1:37" x14ac:dyDescent="0.25">
      <c r="A36" s="57" t="str">
        <f>s_isospec!A4</f>
        <v>Rn-219~Pb-211</v>
      </c>
      <c r="B36" s="70">
        <f>B$34*s_Aeq_Feq!$B4</f>
        <v>935.49999999999989</v>
      </c>
      <c r="C36" s="71">
        <f t="shared" si="29"/>
        <v>1875872.395833333</v>
      </c>
      <c r="D36" s="72">
        <f t="shared" si="30"/>
        <v>1174.714611872146</v>
      </c>
      <c r="E36" s="71">
        <f>C36*s_isospec!$B4</f>
        <v>7.5653933723958316E-5</v>
      </c>
      <c r="F36" s="73">
        <f>D36*s_isospec!$C4</f>
        <v>3.2782039022835613E-7</v>
      </c>
      <c r="G36" s="74">
        <f t="shared" si="35"/>
        <v>7.5981754114186667E-5</v>
      </c>
      <c r="H36" s="70">
        <f>H$34*s_Aeq_Feq!$B4</f>
        <v>6.7955795229458635</v>
      </c>
      <c r="I36" s="71">
        <f t="shared" si="31"/>
        <v>13626.552689240403</v>
      </c>
      <c r="J36" s="72">
        <f t="shared" si="32"/>
        <v>8.533261958037043</v>
      </c>
      <c r="K36" s="71">
        <f>IFERROR(I36*s_isospec!$B4,".")</f>
        <v>5.4955886995706547E-7</v>
      </c>
      <c r="L36" s="73">
        <f>IFERROR(J36*s_isospec!$C4,".")</f>
        <v>2.3813249930945367E-9</v>
      </c>
      <c r="M36" s="74">
        <f t="shared" si="36"/>
        <v>5.5194019495016002E-7</v>
      </c>
      <c r="N36" s="70">
        <f>N$34*s_Aeq_Feq!$B4</f>
        <v>4.6774999999999997E-2</v>
      </c>
      <c r="O36" s="71">
        <f t="shared" si="33"/>
        <v>93.793619791666657</v>
      </c>
      <c r="P36" s="72">
        <f t="shared" si="34"/>
        <v>5.8735730593607302E-2</v>
      </c>
      <c r="Q36" s="71">
        <f>O36*s_isospec!$B4</f>
        <v>3.7826966861979157E-9</v>
      </c>
      <c r="R36" s="73">
        <f>P36*s_isospec!$C4</f>
        <v>1.6391019511417808E-11</v>
      </c>
      <c r="S36" s="74">
        <f t="shared" si="37"/>
        <v>3.7990877057093334E-9</v>
      </c>
      <c r="T36" s="70">
        <f>T$34*s_Aeq_Feq!$C4</f>
        <v>935.49999999999989</v>
      </c>
      <c r="U36" s="71">
        <f>IFERROR(T36*s_EFw*s_EDw*s_ETw*(1/24)*s_IRAw,".")</f>
        <v>6431562.4999999991</v>
      </c>
      <c r="V36" s="72">
        <f>IFERROR(T36*s_EFw*(1/365)*s_EDw*s_ETw*(1/24)*s_GSFa,".")</f>
        <v>1174.714611872146</v>
      </c>
      <c r="W36" s="71">
        <f>U36*s_isospec!$B4</f>
        <v>2.5938491562499996E-4</v>
      </c>
      <c r="X36" s="73">
        <f>V36*s_isospec!$C4</f>
        <v>3.2782039022835613E-7</v>
      </c>
      <c r="Y36" s="74">
        <f t="shared" si="38"/>
        <v>2.5971273601522831E-4</v>
      </c>
      <c r="Z36" s="70">
        <f>Z$34*s_Aeq_Feq!$C4</f>
        <v>6.7955795229458635</v>
      </c>
      <c r="AA36" s="71">
        <f>IFERROR(Z36*s_EFw*s_EDw*s_ETw*(1/24)*s_IRAw,".")</f>
        <v>46719.609220252809</v>
      </c>
      <c r="AB36" s="72">
        <f>IFERROR(Z36*s_EFw*(1/365)*s_EDw*s_ETw*(1/24)*s_GSFa,".")</f>
        <v>8.533261958037043</v>
      </c>
      <c r="AC36" s="71">
        <f>IFERROR(AA36*s_isospec!$B4,".")</f>
        <v>1.8842018398527956E-6</v>
      </c>
      <c r="AD36" s="73">
        <f>IFERROR(AB36*s_isospec!$C4,".")</f>
        <v>2.3813249930945367E-9</v>
      </c>
      <c r="AE36" s="74">
        <f t="shared" si="39"/>
        <v>1.8865831648458901E-6</v>
      </c>
      <c r="AF36" s="70">
        <f>AF$34*s_Aeq_Feq!$C4</f>
        <v>4.6774999999999997E-2</v>
      </c>
      <c r="AG36" s="71">
        <f>IFERROR(AF36*s_EFw*s_EDw*s_ETw*(1/24)*s_IRAw,".")</f>
        <v>321.578125</v>
      </c>
      <c r="AH36" s="72">
        <f>IFERROR(AF36*s_EFw*(1/365)*s_EDw*s_ETw*(1/24)*s_GSFa,".")</f>
        <v>5.8735730593607302E-2</v>
      </c>
      <c r="AI36" s="71">
        <f>AG36*s_isospec!$B4</f>
        <v>1.296924578125E-8</v>
      </c>
      <c r="AJ36" s="73">
        <f>AH36*s_isospec!$C4</f>
        <v>1.6391019511417808E-11</v>
      </c>
      <c r="AK36" s="74">
        <f t="shared" si="40"/>
        <v>1.2985636800761418E-8</v>
      </c>
    </row>
    <row r="37" spans="1:37" x14ac:dyDescent="0.25">
      <c r="A37" s="57" t="str">
        <f>s_isospec!A5</f>
        <v>Rn-219~Po-211</v>
      </c>
      <c r="B37" s="70">
        <f>B$34*s_Aeq_Feq!$B5</f>
        <v>2</v>
      </c>
      <c r="C37" s="71">
        <f t="shared" si="29"/>
        <v>4010.4166666666665</v>
      </c>
      <c r="D37" s="72">
        <f t="shared" si="30"/>
        <v>2.5114155251141548</v>
      </c>
      <c r="E37" s="71">
        <f>C37*s_isospec!$B5</f>
        <v>0</v>
      </c>
      <c r="F37" s="73">
        <f>D37*s_isospec!$C5</f>
        <v>8.7972213698630127E-11</v>
      </c>
      <c r="G37" s="74">
        <f t="shared" si="35"/>
        <v>8.7972213698630127E-11</v>
      </c>
      <c r="H37" s="70">
        <f>H$34*s_Aeq_Feq!$B5</f>
        <v>1.4528229872679561E-2</v>
      </c>
      <c r="I37" s="71">
        <f t="shared" si="31"/>
        <v>29.132127609279326</v>
      </c>
      <c r="J37" s="72">
        <f t="shared" si="32"/>
        <v>1.824321102733735E-2</v>
      </c>
      <c r="K37" s="71">
        <f>IFERROR(I37*s_isospec!$B5,".")</f>
        <v>0</v>
      </c>
      <c r="L37" s="73">
        <f>IFERROR(J37*s_isospec!$C5,".")</f>
        <v>6.3904027151109428E-13</v>
      </c>
      <c r="M37" s="74">
        <f t="shared" si="36"/>
        <v>6.3904027151109428E-13</v>
      </c>
      <c r="N37" s="70">
        <f>N$34*s_Aeq_Feq!$B5</f>
        <v>1E-4</v>
      </c>
      <c r="O37" s="71">
        <f t="shared" si="33"/>
        <v>0.20052083333333334</v>
      </c>
      <c r="P37" s="72">
        <f t="shared" si="34"/>
        <v>1.2557077625570775E-4</v>
      </c>
      <c r="Q37" s="71">
        <f>O37*s_isospec!$B5</f>
        <v>0</v>
      </c>
      <c r="R37" s="73">
        <f>P37*s_isospec!$C5</f>
        <v>4.3986106849315061E-15</v>
      </c>
      <c r="S37" s="74">
        <f t="shared" si="37"/>
        <v>4.3986106849315061E-15</v>
      </c>
      <c r="T37" s="70">
        <f>T$34*s_Aeq_Feq!$C5</f>
        <v>2</v>
      </c>
      <c r="U37" s="71">
        <f>IFERROR(T37*s_EFw*s_EDw*s_ETw*(1/24)*s_IRAw,".")</f>
        <v>13750</v>
      </c>
      <c r="V37" s="72">
        <f>IFERROR(T37*s_EFw*(1/365)*s_EDw*s_ETw*(1/24)*s_GSFa,".")</f>
        <v>2.5114155251141548</v>
      </c>
      <c r="W37" s="71">
        <f>U37*s_isospec!$B5</f>
        <v>0</v>
      </c>
      <c r="X37" s="73">
        <f>V37*s_isospec!$C5</f>
        <v>8.7972213698630127E-11</v>
      </c>
      <c r="Y37" s="74">
        <f t="shared" si="38"/>
        <v>8.7972213698630127E-11</v>
      </c>
      <c r="Z37" s="70">
        <f>Z$34*s_Aeq_Feq!$C5</f>
        <v>1.4528229872679561E-2</v>
      </c>
      <c r="AA37" s="71">
        <f>IFERROR(Z37*s_EFw*s_EDw*s_ETw*(1/24)*s_IRAw,".")</f>
        <v>99.881580374671969</v>
      </c>
      <c r="AB37" s="72">
        <f>IFERROR(Z37*s_EFw*(1/365)*s_EDw*s_ETw*(1/24)*s_GSFa,".")</f>
        <v>1.824321102733735E-2</v>
      </c>
      <c r="AC37" s="71">
        <f>IFERROR(AA37*s_isospec!$B5,".")</f>
        <v>0</v>
      </c>
      <c r="AD37" s="73">
        <f>IFERROR(AB37*s_isospec!$C5,".")</f>
        <v>6.3904027151109428E-13</v>
      </c>
      <c r="AE37" s="74">
        <f t="shared" si="39"/>
        <v>6.3904027151109428E-13</v>
      </c>
      <c r="AF37" s="70">
        <f>AF$34*s_Aeq_Feq!$C5</f>
        <v>1E-4</v>
      </c>
      <c r="AG37" s="71">
        <f>IFERROR(AF37*s_EFw*s_EDw*s_ETw*(1/24)*s_IRAw,".")</f>
        <v>0.6875</v>
      </c>
      <c r="AH37" s="72">
        <f>IFERROR(AF37*s_EFw*(1/365)*s_EDw*s_ETw*(1/24)*s_GSFa,".")</f>
        <v>1.2557077625570775E-4</v>
      </c>
      <c r="AI37" s="71">
        <f>AG37*s_isospec!$B5</f>
        <v>0</v>
      </c>
      <c r="AJ37" s="73">
        <f>AH37*s_isospec!$C5</f>
        <v>4.3986106849315061E-15</v>
      </c>
      <c r="AK37" s="74">
        <f t="shared" si="40"/>
        <v>4.3986106849315061E-15</v>
      </c>
    </row>
    <row r="38" spans="1:37" x14ac:dyDescent="0.25">
      <c r="A38" s="57" t="str">
        <f>s_isospec!A6</f>
        <v>Rn-219~Po-215</v>
      </c>
      <c r="B38" s="70">
        <f>B$34*s_Aeq_Feq!$B6</f>
        <v>4983.5</v>
      </c>
      <c r="C38" s="71">
        <f t="shared" si="29"/>
        <v>9992955.729166666</v>
      </c>
      <c r="D38" s="72">
        <f t="shared" si="30"/>
        <v>6257.8196347031962</v>
      </c>
      <c r="E38" s="71">
        <f>C38*s_isospec!$B6</f>
        <v>0</v>
      </c>
      <c r="F38" s="73">
        <f>D38*s_isospec!$C6</f>
        <v>4.5594590804580818E-9</v>
      </c>
      <c r="G38" s="74">
        <f t="shared" si="35"/>
        <v>4.5594590804580818E-9</v>
      </c>
      <c r="H38" s="70">
        <f>H$34*s_Aeq_Feq!$B6</f>
        <v>36.200716785249298</v>
      </c>
      <c r="I38" s="71">
        <f t="shared" si="31"/>
        <v>72589.978970421769</v>
      </c>
      <c r="J38" s="72">
        <f t="shared" si="32"/>
        <v>45.457521077367836</v>
      </c>
      <c r="K38" s="71">
        <f>IFERROR(I38*s_isospec!$B6,".")</f>
        <v>0</v>
      </c>
      <c r="L38" s="73">
        <f>IFERROR(J38*s_isospec!$C6,".")</f>
        <v>3.3120434807985598E-11</v>
      </c>
      <c r="M38" s="74">
        <f t="shared" si="36"/>
        <v>3.3120434807985598E-11</v>
      </c>
      <c r="N38" s="70">
        <f>N$34*s_Aeq_Feq!$B6</f>
        <v>0.24917500000000001</v>
      </c>
      <c r="O38" s="71">
        <f t="shared" si="33"/>
        <v>499.64778645833331</v>
      </c>
      <c r="P38" s="72">
        <f t="shared" si="34"/>
        <v>0.31289098173515978</v>
      </c>
      <c r="Q38" s="71">
        <f>O38*s_isospec!$B6</f>
        <v>0</v>
      </c>
      <c r="R38" s="73">
        <f>P38*s_isospec!$C6</f>
        <v>2.2797295402290408E-13</v>
      </c>
      <c r="S38" s="74">
        <f t="shared" si="37"/>
        <v>2.2797295402290408E-13</v>
      </c>
      <c r="T38" s="70">
        <f>T$34*s_Aeq_Feq!$C6</f>
        <v>4983.5</v>
      </c>
      <c r="U38" s="71">
        <f>IFERROR(T38*s_EFw*s_EDw*s_ETw*(1/24)*s_IRAw,".")</f>
        <v>34261562.5</v>
      </c>
      <c r="V38" s="72">
        <f>IFERROR(T38*s_EFw*(1/365)*s_EDw*s_ETw*(1/24)*s_GSFa,".")</f>
        <v>6257.8196347031962</v>
      </c>
      <c r="W38" s="71">
        <f>U38*s_isospec!$B6</f>
        <v>0</v>
      </c>
      <c r="X38" s="73">
        <f>V38*s_isospec!$C6</f>
        <v>4.5594590804580818E-9</v>
      </c>
      <c r="Y38" s="74">
        <f t="shared" si="38"/>
        <v>4.5594590804580818E-9</v>
      </c>
      <c r="Z38" s="70">
        <f>Z$34*s_Aeq_Feq!$C6</f>
        <v>36.200716785249298</v>
      </c>
      <c r="AA38" s="71">
        <f>IFERROR(Z38*s_EFw*s_EDw*s_ETw*(1/24)*s_IRAw,".")</f>
        <v>248879.92789858891</v>
      </c>
      <c r="AB38" s="72">
        <f>IFERROR(Z38*s_EFw*(1/365)*s_EDw*s_ETw*(1/24)*s_GSFa,".")</f>
        <v>45.457521077367836</v>
      </c>
      <c r="AC38" s="71">
        <f>IFERROR(AA38*s_isospec!$B6,".")</f>
        <v>0</v>
      </c>
      <c r="AD38" s="73">
        <f>IFERROR(AB38*s_isospec!$C6,".")</f>
        <v>3.3120434807985598E-11</v>
      </c>
      <c r="AE38" s="74">
        <f t="shared" si="39"/>
        <v>3.3120434807985598E-11</v>
      </c>
      <c r="AF38" s="70">
        <f>AF$34*s_Aeq_Feq!$C6</f>
        <v>0.24917500000000001</v>
      </c>
      <c r="AG38" s="71">
        <f>IFERROR(AF38*s_EFw*s_EDw*s_ETw*(1/24)*s_IRAw,".")</f>
        <v>1713.0781249999998</v>
      </c>
      <c r="AH38" s="72">
        <f>IFERROR(AF38*s_EFw*(1/365)*s_EDw*s_ETw*(1/24)*s_GSFa,".")</f>
        <v>0.31289098173515978</v>
      </c>
      <c r="AI38" s="71">
        <f>AG38*s_isospec!$B6</f>
        <v>0</v>
      </c>
      <c r="AJ38" s="73">
        <f>AH38*s_isospec!$C6</f>
        <v>2.2797295402290408E-13</v>
      </c>
      <c r="AK38" s="74">
        <f t="shared" si="40"/>
        <v>2.2797295402290408E-13</v>
      </c>
    </row>
    <row r="39" spans="1:37" x14ac:dyDescent="0.25">
      <c r="A39" s="57" t="str">
        <f>s_isospec!A7</f>
        <v>Rn-219~Tl-207</v>
      </c>
      <c r="B39" s="70">
        <f>B$34*s_Aeq_Feq!$B7</f>
        <v>471.5</v>
      </c>
      <c r="C39" s="71">
        <f t="shared" si="29"/>
        <v>945455.72916666663</v>
      </c>
      <c r="D39" s="72">
        <f t="shared" si="30"/>
        <v>592.06621004566205</v>
      </c>
      <c r="E39" s="71">
        <f>C39*s_isospec!$B7</f>
        <v>0</v>
      </c>
      <c r="F39" s="73">
        <f>D39*s_isospec!$C7</f>
        <v>1.071538217938356E-8</v>
      </c>
      <c r="G39" s="74">
        <f t="shared" si="35"/>
        <v>1.071538217938356E-8</v>
      </c>
      <c r="H39" s="70">
        <f>H$34*s_Aeq_Feq!$B7</f>
        <v>3.4250301924842059</v>
      </c>
      <c r="I39" s="71">
        <f t="shared" si="31"/>
        <v>6867.8990838875998</v>
      </c>
      <c r="J39" s="72">
        <f t="shared" si="32"/>
        <v>4.3008369996947788</v>
      </c>
      <c r="K39" s="71">
        <f>IFERROR(I39*s_isospec!$B7,".")</f>
        <v>0</v>
      </c>
      <c r="L39" s="73">
        <f>IFERROR(J39*s_isospec!$C7,".")</f>
        <v>7.7837767737849213E-11</v>
      </c>
      <c r="M39" s="74">
        <f t="shared" si="36"/>
        <v>7.7837767737849213E-11</v>
      </c>
      <c r="N39" s="70">
        <f>N$34*s_Aeq_Feq!$B7</f>
        <v>2.3574999999999999E-2</v>
      </c>
      <c r="O39" s="71">
        <f t="shared" si="33"/>
        <v>47.272786458333329</v>
      </c>
      <c r="P39" s="72">
        <f t="shared" si="34"/>
        <v>2.9603310502283098E-2</v>
      </c>
      <c r="Q39" s="71">
        <f>O39*s_isospec!$B7</f>
        <v>0</v>
      </c>
      <c r="R39" s="73">
        <f>P39*s_isospec!$C7</f>
        <v>5.3576910896917788E-13</v>
      </c>
      <c r="S39" s="74">
        <f t="shared" si="37"/>
        <v>5.3576910896917788E-13</v>
      </c>
      <c r="T39" s="70">
        <f>T$34*s_Aeq_Feq!$C7</f>
        <v>471.5</v>
      </c>
      <c r="U39" s="71">
        <f>IFERROR(T39*s_EFw*s_EDw*s_ETw*(1/24)*s_IRAw,".")</f>
        <v>3241562.5</v>
      </c>
      <c r="V39" s="72">
        <f>IFERROR(T39*s_EFw*(1/365)*s_EDw*s_ETw*(1/24)*s_GSFa,".")</f>
        <v>592.06621004566205</v>
      </c>
      <c r="W39" s="71">
        <f>U39*s_isospec!$B7</f>
        <v>0</v>
      </c>
      <c r="X39" s="73">
        <f>V39*s_isospec!$C7</f>
        <v>1.071538217938356E-8</v>
      </c>
      <c r="Y39" s="74">
        <f t="shared" si="38"/>
        <v>1.071538217938356E-8</v>
      </c>
      <c r="Z39" s="70">
        <f>Z$34*s_Aeq_Feq!$C7</f>
        <v>3.4250301924842059</v>
      </c>
      <c r="AA39" s="71">
        <f>IFERROR(Z39*s_EFw*s_EDw*s_ETw*(1/24)*s_IRAw,".")</f>
        <v>23547.082573328909</v>
      </c>
      <c r="AB39" s="72">
        <f>IFERROR(Z39*s_EFw*(1/365)*s_EDw*s_ETw*(1/24)*s_GSFa,".")</f>
        <v>4.3008369996947788</v>
      </c>
      <c r="AC39" s="71">
        <f>IFERROR(AA39*s_isospec!$B7,".")</f>
        <v>0</v>
      </c>
      <c r="AD39" s="73">
        <f>IFERROR(AB39*s_isospec!$C7,".")</f>
        <v>7.7837767737849213E-11</v>
      </c>
      <c r="AE39" s="74">
        <f t="shared" si="39"/>
        <v>7.7837767737849213E-11</v>
      </c>
      <c r="AF39" s="70">
        <f>AF$34*s_Aeq_Feq!$C7</f>
        <v>2.3574999999999999E-2</v>
      </c>
      <c r="AG39" s="71">
        <f>IFERROR(AF39*s_EFw*s_EDw*s_ETw*(1/24)*s_IRAw,".")</f>
        <v>162.078125</v>
      </c>
      <c r="AH39" s="72">
        <f>IFERROR(AF39*s_EFw*(1/365)*s_EDw*s_ETw*(1/24)*s_GSFa,".")</f>
        <v>2.9603310502283098E-2</v>
      </c>
      <c r="AI39" s="71">
        <f>AG39*s_isospec!$B7</f>
        <v>0</v>
      </c>
      <c r="AJ39" s="73">
        <f>AH39*s_isospec!$C7</f>
        <v>5.3576910896917788E-13</v>
      </c>
      <c r="AK39" s="74">
        <f t="shared" si="40"/>
        <v>5.3576910896917788E-13</v>
      </c>
    </row>
    <row r="40" spans="1:37" x14ac:dyDescent="0.25">
      <c r="A40" s="57" t="str">
        <f>s_isospec!A8</f>
        <v>Rn-220</v>
      </c>
      <c r="B40" s="102" t="s">
        <v>169</v>
      </c>
      <c r="C40" s="103" t="s">
        <v>179</v>
      </c>
      <c r="D40" s="104">
        <f>Cia_220*(s_Aeq_Feq!$E$8)</f>
        <v>1.0474586666666668E-3</v>
      </c>
      <c r="E40" s="67">
        <f>IF(SUM(E41:E46)&lt;0.01,SUM(E41:E46),1-EXP(-SUM(E41:E46)))</f>
        <v>9.4694960937500008E-5</v>
      </c>
      <c r="F40" s="67">
        <f t="shared" ref="F40:G40" si="41">IF(SUM(F41:F46)&lt;0.01,SUM(F41:F46),1-EXP(-SUM(F41:F46)))</f>
        <v>1.065320274428773E-7</v>
      </c>
      <c r="G40" s="67">
        <f t="shared" si="41"/>
        <v>9.480149296494289E-5</v>
      </c>
      <c r="H40" s="102" t="s">
        <v>169</v>
      </c>
      <c r="I40" s="103" t="s">
        <v>179</v>
      </c>
      <c r="J40" s="104">
        <f>(H41/1000)*(s_Aeq_Feq!$E$8)</f>
        <v>7.6088601457318846E-6</v>
      </c>
      <c r="K40" s="67">
        <f>IF(SUM(K41:K46)&lt;0.01,SUM(K41:K46),1-EXP(-SUM(K41:K46)))</f>
        <v>6.8787508014220575E-7</v>
      </c>
      <c r="L40" s="67">
        <f t="shared" ref="L40:M40" si="42">IF(SUM(L41:L46)&lt;0.01,SUM(L41:L46),1-EXP(-SUM(L41:L46)))</f>
        <v>7.7386089174636448E-10</v>
      </c>
      <c r="M40" s="67">
        <f t="shared" si="42"/>
        <v>6.8864894103395208E-7</v>
      </c>
      <c r="N40" s="102" t="s">
        <v>169</v>
      </c>
      <c r="O40" s="103" t="s">
        <v>179</v>
      </c>
      <c r="P40" s="104">
        <f>(N41/1000)*(s_Aeq_Feq!$E$8)</f>
        <v>5.2372933333333336E-8</v>
      </c>
      <c r="Q40" s="67">
        <f>IF(SUM(Q41:Q46)&lt;0.01,SUM(Q41:Q46),1-EXP(-SUM(Q41:Q46)))</f>
        <v>4.734748046875E-9</v>
      </c>
      <c r="R40" s="67">
        <f t="shared" ref="R40:S40" si="43">IF(SUM(R41:R46)&lt;0.01,SUM(R41:R46),1-EXP(-SUM(R41:R46)))</f>
        <v>5.326601372143866E-12</v>
      </c>
      <c r="S40" s="67">
        <f t="shared" si="43"/>
        <v>4.7400746482471443E-9</v>
      </c>
      <c r="T40" s="102" t="s">
        <v>169</v>
      </c>
      <c r="U40" s="103" t="s">
        <v>179</v>
      </c>
      <c r="V40" s="104">
        <f>Cia_220*(s_Aeq_Feq!$G$8)</f>
        <v>1.0474586666666668E-3</v>
      </c>
      <c r="W40" s="67">
        <f>IF(SUM(W41:W46)&lt;0.01,SUM(W41:W46),1-EXP(-SUM(W41:W46)))</f>
        <v>3.2466843749999995E-4</v>
      </c>
      <c r="X40" s="67">
        <f t="shared" ref="X40:Y40" si="44">IF(SUM(X41:X46)&lt;0.01,SUM(X41:X46),1-EXP(-SUM(X41:X46)))</f>
        <v>1.065320274428773E-7</v>
      </c>
      <c r="Y40" s="67">
        <f t="shared" si="44"/>
        <v>3.2477496952744287E-4</v>
      </c>
      <c r="Z40" s="102" t="s">
        <v>169</v>
      </c>
      <c r="AA40" s="103" t="s">
        <v>179</v>
      </c>
      <c r="AB40" s="104">
        <f>(Z41/1000)*(s_Aeq_Feq!$G$8)</f>
        <v>7.6088601457318846E-6</v>
      </c>
      <c r="AC40" s="67">
        <f>IF(SUM(AC41:AC46)&lt;0.01,SUM(AC41:AC46),1-EXP(-SUM(AC41:AC46)))</f>
        <v>2.3584288462018483E-6</v>
      </c>
      <c r="AD40" s="67">
        <f t="shared" ref="AD40:AE40" si="45">IF(SUM(AD41:AD46)&lt;0.01,SUM(AD41:AD46),1-EXP(-SUM(AD41:AD46)))</f>
        <v>7.7386089174636448E-10</v>
      </c>
      <c r="AE40" s="67">
        <f t="shared" si="45"/>
        <v>2.359202707093595E-6</v>
      </c>
      <c r="AF40" s="102" t="s">
        <v>169</v>
      </c>
      <c r="AG40" s="103" t="s">
        <v>179</v>
      </c>
      <c r="AH40" s="104">
        <f>(AF41/1000)*(s_Aeq_Feq!$G$8)</f>
        <v>5.2372933333333336E-8</v>
      </c>
      <c r="AI40" s="67">
        <f>IF(SUM(AI41:AI46)&lt;0.01,SUM(AI41:AI46),1-EXP(-SUM(AI41:AI46)))</f>
        <v>1.6233421874999999E-8</v>
      </c>
      <c r="AJ40" s="67">
        <f t="shared" ref="AJ40:AK40" si="46">IF(SUM(AJ41:AJ46)&lt;0.01,SUM(AJ41:AJ46),1-EXP(-SUM(AJ41:AJ46)))</f>
        <v>5.326601372143866E-12</v>
      </c>
      <c r="AK40" s="67">
        <f t="shared" si="46"/>
        <v>1.6238748476372143E-8</v>
      </c>
    </row>
    <row r="41" spans="1:37" x14ac:dyDescent="0.25">
      <c r="A41" s="57" t="str">
        <f>s_isospec!A8</f>
        <v>Rn-220</v>
      </c>
      <c r="B41" s="75">
        <f>Cia_220*1000</f>
        <v>5000</v>
      </c>
      <c r="C41" s="71">
        <f t="shared" ref="C41:C46" si="47">IFERROR(B41*s_IFAres_adj,".")</f>
        <v>10026041.666666666</v>
      </c>
      <c r="D41" s="72">
        <f t="shared" ref="D41:D46" si="48">IFERROR(B41*s_EFres*(1/365)*s_EDres*s_ETres*(1/24)*s_GSFa,".")</f>
        <v>6278.5388127853876</v>
      </c>
      <c r="E41" s="71">
        <f>C41*s_isospec!$B8</f>
        <v>1.1529947916666665E-5</v>
      </c>
      <c r="F41" s="73">
        <f>D41*s_isospec!$C8</f>
        <v>1.6494790068493151E-8</v>
      </c>
      <c r="G41" s="74">
        <f t="shared" ref="G41:G46" si="49">SUM(E41:F41)</f>
        <v>1.1546442706735158E-5</v>
      </c>
      <c r="H41" s="70">
        <f>IFERROR(Cia_220*(s_AFgw*1000*s_isospec!$M8),".")</f>
        <v>36.320574681698901</v>
      </c>
      <c r="I41" s="71">
        <f t="shared" ref="I41:I46" si="50">IFERROR(H41*s_IFAres_adj,".")</f>
        <v>72830.319023198317</v>
      </c>
      <c r="J41" s="72">
        <f t="shared" ref="J41:J46" si="51">IFERROR(H41*s_EFres*(1/365)*s_EDres*s_ETres*(1/24)*s_GSFa,".")</f>
        <v>45.60802756834336</v>
      </c>
      <c r="K41" s="71">
        <f>IFERROR(I41*s_isospec!$B8,".")</f>
        <v>8.3754866876678056E-8</v>
      </c>
      <c r="L41" s="73">
        <f>IFERROR(J41*s_isospec!$C8,".")</f>
        <v>1.1982005090833015E-10</v>
      </c>
      <c r="M41" s="74">
        <f t="shared" ref="M41:M46" si="52">SUM(K41:L41)</f>
        <v>8.387468692758639E-8</v>
      </c>
      <c r="N41" s="70">
        <f>Cia_220*s_AFss</f>
        <v>0.25</v>
      </c>
      <c r="O41" s="71">
        <f t="shared" ref="O41:O46" si="53">IFERROR(N41*s_IFAres_adj,".")</f>
        <v>501.30208333333331</v>
      </c>
      <c r="P41" s="72">
        <f t="shared" ref="P41:P46" si="54">IFERROR(N41*s_EFres*(1/365)*s_EDres*s_ETres*(1/24)*s_GSFa,".")</f>
        <v>0.31392694063926935</v>
      </c>
      <c r="Q41" s="71">
        <f>O41*s_isospec!$B8</f>
        <v>5.7649739583333329E-10</v>
      </c>
      <c r="R41" s="73">
        <f>P41*s_isospec!$C8</f>
        <v>8.2473950342465738E-13</v>
      </c>
      <c r="S41" s="74">
        <f t="shared" ref="S41:S46" si="55">SUM(Q41:R41)</f>
        <v>5.7732213533675797E-10</v>
      </c>
      <c r="T41" s="75">
        <f>Cia_220*1000</f>
        <v>5000</v>
      </c>
      <c r="U41" s="71">
        <f>IFERROR(T41*s_EFw*s_EDw*s_ETw*(1/24)*s_IRAw,".")</f>
        <v>34375000</v>
      </c>
      <c r="V41" s="72">
        <f>IFERROR(T41*s_EFw*(1/365)*s_EDw*s_ETw*(1/24)*s_GSFa,".")</f>
        <v>6278.5388127853876</v>
      </c>
      <c r="W41" s="71">
        <f>U41*s_isospec!$B8</f>
        <v>3.9531249999999995E-5</v>
      </c>
      <c r="X41" s="73">
        <f>V41*s_isospec!$C8</f>
        <v>1.6494790068493151E-8</v>
      </c>
      <c r="Y41" s="74">
        <f t="shared" ref="Y41:Y46" si="56">SUM(W41:X41)</f>
        <v>3.9547744790068485E-5</v>
      </c>
      <c r="Z41" s="70">
        <f>IFERROR(Cia_220*(s_AFgw*1000*s_isospec!$M8),".")</f>
        <v>36.320574681698901</v>
      </c>
      <c r="AA41" s="71">
        <f>IFERROR(Z41*s_EFw*s_EDw*s_ETw*(1/24)*s_IRAw,".")</f>
        <v>249703.95093667993</v>
      </c>
      <c r="AB41" s="72">
        <f>IFERROR(Z41*s_EFw*(1/365)*s_EDw*s_ETw*(1/24)*s_GSFa,".")</f>
        <v>45.60802756834336</v>
      </c>
      <c r="AC41" s="71">
        <f>IFERROR(AA41*s_isospec!$B8,".")</f>
        <v>2.8715954357718193E-7</v>
      </c>
      <c r="AD41" s="73">
        <f>IFERROR(AB41*s_isospec!$C8,".")</f>
        <v>1.1982005090833015E-10</v>
      </c>
      <c r="AE41" s="74">
        <f t="shared" ref="AE41:AE46" si="57">SUM(AC41:AD41)</f>
        <v>2.8727936362809026E-7</v>
      </c>
      <c r="AF41" s="70">
        <f>Cia_220*s_AFss</f>
        <v>0.25</v>
      </c>
      <c r="AG41" s="71">
        <f>IFERROR(AF41*s_EFw*s_EDw*s_ETw*(1/24)*s_IRAw,".")</f>
        <v>1718.75</v>
      </c>
      <c r="AH41" s="72">
        <f>IFERROR(AF41*s_EFw*(1/365)*s_EDw*s_ETw*(1/24)*s_GSFa,".")</f>
        <v>0.31392694063926935</v>
      </c>
      <c r="AI41" s="71">
        <f>AG41*s_isospec!$B8</f>
        <v>1.9765625E-9</v>
      </c>
      <c r="AJ41" s="73">
        <f>AH41*s_isospec!$C8</f>
        <v>8.2473950342465738E-13</v>
      </c>
      <c r="AK41" s="74">
        <f t="shared" ref="AK41:AK46" si="58">SUM(AI41:AJ41)</f>
        <v>1.9773872395034245E-9</v>
      </c>
    </row>
    <row r="42" spans="1:37" x14ac:dyDescent="0.25">
      <c r="A42" s="57" t="str">
        <f>s_isospec!A9</f>
        <v>Rn-220~Bi-212</v>
      </c>
      <c r="B42" s="70">
        <f>B$41*s_Aeq_Feq!$B9</f>
        <v>8</v>
      </c>
      <c r="C42" s="71">
        <f t="shared" si="47"/>
        <v>16041.666666666666</v>
      </c>
      <c r="D42" s="72">
        <f t="shared" si="48"/>
        <v>10.045662100456619</v>
      </c>
      <c r="E42" s="71">
        <f>C42*s_isospec!$B9</f>
        <v>1.8127083333333332E-6</v>
      </c>
      <c r="F42" s="73">
        <f>D42*s_isospec!$C9</f>
        <v>4.6332032547945195E-9</v>
      </c>
      <c r="G42" s="74">
        <f t="shared" si="49"/>
        <v>1.8173415365881276E-6</v>
      </c>
      <c r="H42" s="70">
        <f>H$41*s_Aeq_Feq!$B9</f>
        <v>5.8112919490718243E-2</v>
      </c>
      <c r="I42" s="71">
        <f t="shared" si="50"/>
        <v>116.5285104371173</v>
      </c>
      <c r="J42" s="72">
        <f t="shared" si="51"/>
        <v>7.29728441093494E-2</v>
      </c>
      <c r="K42" s="71">
        <f>IFERROR(I42*s_isospec!$B9,".")</f>
        <v>1.3167721679394256E-8</v>
      </c>
      <c r="L42" s="73">
        <f>IFERROR(J42*s_isospec!$C9,".")</f>
        <v>3.3656120966250966E-11</v>
      </c>
      <c r="M42" s="74">
        <f t="shared" si="52"/>
        <v>1.3201377800360507E-8</v>
      </c>
      <c r="N42" s="70">
        <f>N$41*s_Aeq_Feq!$B9</f>
        <v>4.0000000000000002E-4</v>
      </c>
      <c r="O42" s="71">
        <f t="shared" si="53"/>
        <v>0.80208333333333337</v>
      </c>
      <c r="P42" s="72">
        <f t="shared" si="54"/>
        <v>5.02283105022831E-4</v>
      </c>
      <c r="Q42" s="71">
        <f>O42*s_isospec!$B9</f>
        <v>9.0635416666666667E-11</v>
      </c>
      <c r="R42" s="73">
        <f>P42*s_isospec!$C9</f>
        <v>2.3166016273972601E-13</v>
      </c>
      <c r="S42" s="74">
        <f t="shared" si="55"/>
        <v>9.0867076829406398E-11</v>
      </c>
      <c r="T42" s="70">
        <f>T$41*s_Aeq_Feq!$C9</f>
        <v>8</v>
      </c>
      <c r="U42" s="71">
        <f>IFERROR(T42*s_EFw*s_EDw*s_ETw*(1/24)*s_IRAw,".")</f>
        <v>55000</v>
      </c>
      <c r="V42" s="72">
        <f>IFERROR(T42*s_EFw*(1/365)*s_EDw*s_ETw*(1/24)*s_GSFa,".")</f>
        <v>10.045662100456619</v>
      </c>
      <c r="W42" s="71">
        <f>U42*s_isospec!$B9</f>
        <v>6.2149999999999998E-6</v>
      </c>
      <c r="X42" s="73">
        <f>V42*s_isospec!$C9</f>
        <v>4.6332032547945195E-9</v>
      </c>
      <c r="Y42" s="74">
        <f t="shared" si="56"/>
        <v>6.2196332032547943E-6</v>
      </c>
      <c r="Z42" s="70">
        <f>Z$41*s_Aeq_Feq!$C9</f>
        <v>5.8112919490718243E-2</v>
      </c>
      <c r="AA42" s="71">
        <f>IFERROR(Z42*s_EFw*s_EDw*s_ETw*(1/24)*s_IRAw,".")</f>
        <v>399.52632149868788</v>
      </c>
      <c r="AB42" s="72">
        <f>IFERROR(Z42*s_EFw*(1/365)*s_EDw*s_ETw*(1/24)*s_GSFa,".")</f>
        <v>7.29728441093494E-2</v>
      </c>
      <c r="AC42" s="71">
        <f>IFERROR(AA42*s_isospec!$B9,".")</f>
        <v>4.5146474329351727E-8</v>
      </c>
      <c r="AD42" s="73">
        <f>IFERROR(AB42*s_isospec!$C9,".")</f>
        <v>3.3656120966250966E-11</v>
      </c>
      <c r="AE42" s="74">
        <f t="shared" si="57"/>
        <v>4.5180130450317979E-8</v>
      </c>
      <c r="AF42" s="70">
        <f>AF$41*s_Aeq_Feq!$C9</f>
        <v>4.0000000000000002E-4</v>
      </c>
      <c r="AG42" s="71">
        <f>IFERROR(AF42*s_EFw*s_EDw*s_ETw*(1/24)*s_IRAw,".")</f>
        <v>2.75</v>
      </c>
      <c r="AH42" s="72">
        <f>IFERROR(AF42*s_EFw*(1/365)*s_EDw*s_ETw*(1/24)*s_GSFa,".")</f>
        <v>5.02283105022831E-4</v>
      </c>
      <c r="AI42" s="71">
        <f>AG42*s_isospec!$B9</f>
        <v>3.1074999999999999E-10</v>
      </c>
      <c r="AJ42" s="73">
        <f>AH42*s_isospec!$C9</f>
        <v>2.3166016273972601E-13</v>
      </c>
      <c r="AK42" s="74">
        <f t="shared" si="58"/>
        <v>3.1098166016273972E-10</v>
      </c>
    </row>
    <row r="43" spans="1:37" x14ac:dyDescent="0.25">
      <c r="A43" s="57" t="str">
        <f>s_isospec!A10</f>
        <v>Rn-220~Pb-212</v>
      </c>
      <c r="B43" s="70">
        <f>B$41*s_Aeq_Feq!$B10</f>
        <v>64.5</v>
      </c>
      <c r="C43" s="71">
        <f t="shared" si="47"/>
        <v>129335.9375</v>
      </c>
      <c r="D43" s="72">
        <f t="shared" si="48"/>
        <v>80.993150684931507</v>
      </c>
      <c r="E43" s="71">
        <f>C43*s_isospec!$B10</f>
        <v>8.1352304687500005E-5</v>
      </c>
      <c r="F43" s="73">
        <f>D43*s_isospec!$C10</f>
        <v>4.5109951879315066E-8</v>
      </c>
      <c r="G43" s="74">
        <f t="shared" si="49"/>
        <v>8.1397414639379316E-5</v>
      </c>
      <c r="H43" s="70">
        <f>H$41*s_Aeq_Feq!$B10</f>
        <v>0.4685354133939158</v>
      </c>
      <c r="I43" s="71">
        <f t="shared" si="50"/>
        <v>939.51111539925819</v>
      </c>
      <c r="J43" s="72">
        <f t="shared" si="51"/>
        <v>0.58834355563162943</v>
      </c>
      <c r="K43" s="71">
        <f>IFERROR(I43*s_isospec!$B10,".")</f>
        <v>5.9095249158613342E-7</v>
      </c>
      <c r="L43" s="73">
        <f>IFERROR(J43*s_isospec!$C10,".")</f>
        <v>3.2768387522410132E-10</v>
      </c>
      <c r="M43" s="74">
        <f t="shared" si="52"/>
        <v>5.912801754613575E-7</v>
      </c>
      <c r="N43" s="70">
        <f>N$41*s_Aeq_Feq!$B10</f>
        <v>3.225E-3</v>
      </c>
      <c r="O43" s="71">
        <f t="shared" si="53"/>
        <v>6.466796875</v>
      </c>
      <c r="P43" s="72">
        <f t="shared" si="54"/>
        <v>4.0496575342465757E-3</v>
      </c>
      <c r="Q43" s="71">
        <f>O43*s_isospec!$B10</f>
        <v>4.0676152343750001E-9</v>
      </c>
      <c r="R43" s="73">
        <f>P43*s_isospec!$C10</f>
        <v>2.2554975939657534E-12</v>
      </c>
      <c r="S43" s="74">
        <f t="shared" si="55"/>
        <v>4.069870731968966E-9</v>
      </c>
      <c r="T43" s="70">
        <f>T$41*s_Aeq_Feq!$C10</f>
        <v>64.5</v>
      </c>
      <c r="U43" s="71">
        <f>IFERROR(T43*s_EFw*s_EDw*s_ETw*(1/24)*s_IRAw,".")</f>
        <v>443437.5</v>
      </c>
      <c r="V43" s="72">
        <f>IFERROR(T43*s_EFw*(1/365)*s_EDw*s_ETw*(1/24)*s_GSFa,".")</f>
        <v>80.993150684931507</v>
      </c>
      <c r="W43" s="71">
        <f>U43*s_isospec!$B10</f>
        <v>2.7892218749999998E-4</v>
      </c>
      <c r="X43" s="73">
        <f>V43*s_isospec!$C10</f>
        <v>4.5109951879315066E-8</v>
      </c>
      <c r="Y43" s="74">
        <f t="shared" si="56"/>
        <v>2.7896729745187929E-4</v>
      </c>
      <c r="Z43" s="70">
        <f>Z$41*s_Aeq_Feq!$C10</f>
        <v>0.4685354133939158</v>
      </c>
      <c r="AA43" s="71">
        <f>IFERROR(Z43*s_EFw*s_EDw*s_ETw*(1/24)*s_IRAw,".")</f>
        <v>3221.1809670831713</v>
      </c>
      <c r="AB43" s="72">
        <f>IFERROR(Z43*s_EFw*(1/365)*s_EDw*s_ETw*(1/24)*s_GSFa,".")</f>
        <v>0.58834355563162943</v>
      </c>
      <c r="AC43" s="71">
        <f>IFERROR(AA43*s_isospec!$B10,".")</f>
        <v>2.0261228282953148E-6</v>
      </c>
      <c r="AD43" s="73">
        <f>IFERROR(AB43*s_isospec!$C10,".")</f>
        <v>3.2768387522410132E-10</v>
      </c>
      <c r="AE43" s="74">
        <f t="shared" si="57"/>
        <v>2.0264505121705391E-6</v>
      </c>
      <c r="AF43" s="70">
        <f>AF$41*s_Aeq_Feq!$C10</f>
        <v>3.225E-3</v>
      </c>
      <c r="AG43" s="71">
        <f>IFERROR(AF43*s_EFw*s_EDw*s_ETw*(1/24)*s_IRAw,".")</f>
        <v>22.171875</v>
      </c>
      <c r="AH43" s="72">
        <f>IFERROR(AF43*s_EFw*(1/365)*s_EDw*s_ETw*(1/24)*s_GSFa,".")</f>
        <v>4.0496575342465757E-3</v>
      </c>
      <c r="AI43" s="71">
        <f>AG43*s_isospec!$B10</f>
        <v>1.3946109374999999E-8</v>
      </c>
      <c r="AJ43" s="73">
        <f>AH43*s_isospec!$C10</f>
        <v>2.2554975939657534E-12</v>
      </c>
      <c r="AK43" s="74">
        <f t="shared" si="58"/>
        <v>1.3948364872593965E-8</v>
      </c>
    </row>
    <row r="44" spans="1:37" x14ac:dyDescent="0.25">
      <c r="A44" s="57" t="str">
        <f>s_isospec!A11</f>
        <v>Rn-220~Po-212</v>
      </c>
      <c r="B44" s="70">
        <f>B$41*s_Aeq_Feq!$B11</f>
        <v>5</v>
      </c>
      <c r="C44" s="71">
        <f t="shared" si="47"/>
        <v>10026.041666666666</v>
      </c>
      <c r="D44" s="72">
        <f t="shared" si="48"/>
        <v>6.2785388127853885</v>
      </c>
      <c r="E44" s="71">
        <f>C44*s_isospec!$B11</f>
        <v>0</v>
      </c>
      <c r="F44" s="73">
        <f>D44*s_isospec!$C11</f>
        <v>0</v>
      </c>
      <c r="G44" s="74">
        <f t="shared" si="49"/>
        <v>0</v>
      </c>
      <c r="H44" s="70">
        <f>H$41*s_Aeq_Feq!$B11</f>
        <v>3.63205746816989E-2</v>
      </c>
      <c r="I44" s="71">
        <f t="shared" si="50"/>
        <v>72.830319023198314</v>
      </c>
      <c r="J44" s="72">
        <f t="shared" si="51"/>
        <v>4.5608027568343368E-2</v>
      </c>
      <c r="K44" s="71">
        <f>IFERROR(I44*s_isospec!$B11,".")</f>
        <v>0</v>
      </c>
      <c r="L44" s="73">
        <f>IFERROR(J44*s_isospec!$C11,".")</f>
        <v>0</v>
      </c>
      <c r="M44" s="74">
        <f t="shared" si="52"/>
        <v>0</v>
      </c>
      <c r="N44" s="70">
        <f>N$41*s_Aeq_Feq!$B11</f>
        <v>2.5000000000000001E-4</v>
      </c>
      <c r="O44" s="71">
        <f t="shared" si="53"/>
        <v>0.50130208333333337</v>
      </c>
      <c r="P44" s="72">
        <f t="shared" si="54"/>
        <v>3.139269406392694E-4</v>
      </c>
      <c r="Q44" s="71">
        <f>O44*s_isospec!$B11</f>
        <v>0</v>
      </c>
      <c r="R44" s="73">
        <f>P44*s_isospec!$C11</f>
        <v>0</v>
      </c>
      <c r="S44" s="74">
        <f t="shared" si="55"/>
        <v>0</v>
      </c>
      <c r="T44" s="70">
        <f>T$41*s_Aeq_Feq!$C11</f>
        <v>5</v>
      </c>
      <c r="U44" s="71">
        <f>IFERROR(T44*s_EFw*s_EDw*s_ETw*(1/24)*s_IRAw,".")</f>
        <v>34375</v>
      </c>
      <c r="V44" s="72">
        <f>IFERROR(T44*s_EFw*(1/365)*s_EDw*s_ETw*(1/24)*s_GSFa,".")</f>
        <v>6.2785388127853885</v>
      </c>
      <c r="W44" s="71">
        <f>U44*s_isospec!$B11</f>
        <v>0</v>
      </c>
      <c r="X44" s="73">
        <f>V44*s_isospec!$C11</f>
        <v>0</v>
      </c>
      <c r="Y44" s="74">
        <f t="shared" si="56"/>
        <v>0</v>
      </c>
      <c r="Z44" s="70">
        <f>Z$41*s_Aeq_Feq!$C11</f>
        <v>3.63205746816989E-2</v>
      </c>
      <c r="AA44" s="71">
        <f>IFERROR(Z44*s_EFw*s_EDw*s_ETw*(1/24)*s_IRAw,".")</f>
        <v>249.70395093667992</v>
      </c>
      <c r="AB44" s="72">
        <f>IFERROR(Z44*s_EFw*(1/365)*s_EDw*s_ETw*(1/24)*s_GSFa,".")</f>
        <v>4.5608027568343368E-2</v>
      </c>
      <c r="AC44" s="71">
        <f>IFERROR(AA44*s_isospec!$B11,".")</f>
        <v>0</v>
      </c>
      <c r="AD44" s="73">
        <f>IFERROR(AB44*s_isospec!$C11,".")</f>
        <v>0</v>
      </c>
      <c r="AE44" s="74">
        <f t="shared" si="57"/>
        <v>0</v>
      </c>
      <c r="AF44" s="70">
        <f>AF$41*s_Aeq_Feq!$C11</f>
        <v>2.5000000000000001E-4</v>
      </c>
      <c r="AG44" s="71">
        <f>IFERROR(AF44*s_EFw*s_EDw*s_ETw*(1/24)*s_IRAw,".")</f>
        <v>1.71875</v>
      </c>
      <c r="AH44" s="72">
        <f>IFERROR(AF44*s_EFw*(1/365)*s_EDw*s_ETw*(1/24)*s_GSFa,".")</f>
        <v>3.139269406392694E-4</v>
      </c>
      <c r="AI44" s="71">
        <f>AG44*s_isospec!$B11</f>
        <v>0</v>
      </c>
      <c r="AJ44" s="73">
        <f>AH44*s_isospec!$C11</f>
        <v>0</v>
      </c>
      <c r="AK44" s="74">
        <f t="shared" si="58"/>
        <v>0</v>
      </c>
    </row>
    <row r="45" spans="1:37" x14ac:dyDescent="0.25">
      <c r="A45" s="57" t="str">
        <f>s_isospec!A12</f>
        <v>Rn-220~Po-216</v>
      </c>
      <c r="B45" s="70">
        <f>B$41*s_Aeq_Feq!$B12</f>
        <v>4998.5</v>
      </c>
      <c r="C45" s="71">
        <f t="shared" si="47"/>
        <v>10023033.854166666</v>
      </c>
      <c r="D45" s="72">
        <f t="shared" si="48"/>
        <v>6276.6552511415512</v>
      </c>
      <c r="E45" s="71">
        <f>C45*s_isospec!$B12</f>
        <v>0</v>
      </c>
      <c r="F45" s="73">
        <f>D45*s_isospec!$C12</f>
        <v>4.1334536356224647E-10</v>
      </c>
      <c r="G45" s="74">
        <f t="shared" si="49"/>
        <v>4.1334536356224647E-10</v>
      </c>
      <c r="H45" s="70">
        <f>H$41*s_Aeq_Feq!$B12</f>
        <v>36.309678509294393</v>
      </c>
      <c r="I45" s="71">
        <f t="shared" si="50"/>
        <v>72808.469927491358</v>
      </c>
      <c r="J45" s="72">
        <f t="shared" si="51"/>
        <v>45.594345160072862</v>
      </c>
      <c r="K45" s="71">
        <f>IFERROR(I45*s_isospec!$B12,".")</f>
        <v>0</v>
      </c>
      <c r="L45" s="73">
        <f>IFERROR(J45*s_isospec!$C12,".")</f>
        <v>3.0025882293193116E-12</v>
      </c>
      <c r="M45" s="74">
        <f t="shared" si="52"/>
        <v>3.0025882293193116E-12</v>
      </c>
      <c r="N45" s="70">
        <f>N$41*s_Aeq_Feq!$B12</f>
        <v>0.24992500000000001</v>
      </c>
      <c r="O45" s="71">
        <f t="shared" si="53"/>
        <v>501.15169270833331</v>
      </c>
      <c r="P45" s="72">
        <f t="shared" si="54"/>
        <v>0.31383276255707759</v>
      </c>
      <c r="Q45" s="71">
        <f>O45*s_isospec!$B12</f>
        <v>0</v>
      </c>
      <c r="R45" s="73">
        <f>P45*s_isospec!$C12</f>
        <v>2.0667268178112327E-14</v>
      </c>
      <c r="S45" s="74">
        <f t="shared" si="55"/>
        <v>2.0667268178112327E-14</v>
      </c>
      <c r="T45" s="70">
        <f>T$41*s_Aeq_Feq!$C12</f>
        <v>4998.5</v>
      </c>
      <c r="U45" s="71">
        <f>IFERROR(T45*s_EFw*s_EDw*s_ETw*(1/24)*s_IRAw,".")</f>
        <v>34364687.5</v>
      </c>
      <c r="V45" s="72">
        <f>IFERROR(T45*s_EFw*(1/365)*s_EDw*s_ETw*(1/24)*s_GSFa,".")</f>
        <v>6276.6552511415512</v>
      </c>
      <c r="W45" s="71">
        <f>U45*s_isospec!$B12</f>
        <v>0</v>
      </c>
      <c r="X45" s="73">
        <f>V45*s_isospec!$C12</f>
        <v>4.1334536356224647E-10</v>
      </c>
      <c r="Y45" s="74">
        <f t="shared" si="56"/>
        <v>4.1334536356224647E-10</v>
      </c>
      <c r="Z45" s="70">
        <f>Z$41*s_Aeq_Feq!$C12</f>
        <v>36.309678509294393</v>
      </c>
      <c r="AA45" s="71">
        <f>IFERROR(Z45*s_EFw*s_EDw*s_ETw*(1/24)*s_IRAw,".")</f>
        <v>249629.0397513989</v>
      </c>
      <c r="AB45" s="72">
        <f>IFERROR(Z45*s_EFw*(1/365)*s_EDw*s_ETw*(1/24)*s_GSFa,".")</f>
        <v>45.594345160072862</v>
      </c>
      <c r="AC45" s="71">
        <f>IFERROR(AA45*s_isospec!$B12,".")</f>
        <v>0</v>
      </c>
      <c r="AD45" s="73">
        <f>IFERROR(AB45*s_isospec!$C12,".")</f>
        <v>3.0025882293193116E-12</v>
      </c>
      <c r="AE45" s="74">
        <f t="shared" si="57"/>
        <v>3.0025882293193116E-12</v>
      </c>
      <c r="AF45" s="70">
        <f>AF$41*s_Aeq_Feq!$C12</f>
        <v>0.24992500000000001</v>
      </c>
      <c r="AG45" s="71">
        <f>IFERROR(AF45*s_EFw*s_EDw*s_ETw*(1/24)*s_IRAw,".")</f>
        <v>1718.234375</v>
      </c>
      <c r="AH45" s="72">
        <f>IFERROR(AF45*s_EFw*(1/365)*s_EDw*s_ETw*(1/24)*s_GSFa,".")</f>
        <v>0.31383276255707759</v>
      </c>
      <c r="AI45" s="71">
        <f>AG45*s_isospec!$B12</f>
        <v>0</v>
      </c>
      <c r="AJ45" s="73">
        <f>AH45*s_isospec!$C12</f>
        <v>2.0667268178112327E-14</v>
      </c>
      <c r="AK45" s="74">
        <f t="shared" si="58"/>
        <v>2.0667268178112327E-14</v>
      </c>
    </row>
    <row r="46" spans="1:37" x14ac:dyDescent="0.25">
      <c r="A46" s="57" t="str">
        <f>s_isospec!A13</f>
        <v>Rn-220~Tl-208</v>
      </c>
      <c r="B46" s="70">
        <f>B$41*s_Aeq_Feq!$B13</f>
        <v>2</v>
      </c>
      <c r="C46" s="71">
        <f t="shared" si="47"/>
        <v>4010.4166666666665</v>
      </c>
      <c r="D46" s="72">
        <f t="shared" si="48"/>
        <v>2.5114155251141548</v>
      </c>
      <c r="E46" s="71">
        <f>C46*s_isospec!$B13</f>
        <v>0</v>
      </c>
      <c r="F46" s="73">
        <f>D46*s_isospec!$C13</f>
        <v>3.988073687671232E-8</v>
      </c>
      <c r="G46" s="74">
        <f t="shared" si="49"/>
        <v>3.988073687671232E-8</v>
      </c>
      <c r="H46" s="70">
        <f>H$41*s_Aeq_Feq!$B13</f>
        <v>1.4528229872679561E-2</v>
      </c>
      <c r="I46" s="71">
        <f t="shared" si="50"/>
        <v>29.132127609279326</v>
      </c>
      <c r="J46" s="72">
        <f t="shared" si="51"/>
        <v>1.824321102733735E-2</v>
      </c>
      <c r="K46" s="71">
        <f>IFERROR(I46*s_isospec!$B13,".")</f>
        <v>0</v>
      </c>
      <c r="L46" s="73">
        <f>IFERROR(J46*s_isospec!$C13,".")</f>
        <v>2.8969825641836274E-10</v>
      </c>
      <c r="M46" s="74">
        <f t="shared" si="52"/>
        <v>2.8969825641836274E-10</v>
      </c>
      <c r="N46" s="70">
        <f>N$41*s_Aeq_Feq!$B13</f>
        <v>1E-4</v>
      </c>
      <c r="O46" s="71">
        <f t="shared" si="53"/>
        <v>0.20052083333333334</v>
      </c>
      <c r="P46" s="72">
        <f t="shared" si="54"/>
        <v>1.2557077625570775E-4</v>
      </c>
      <c r="Q46" s="71">
        <f>O46*s_isospec!$B13</f>
        <v>0</v>
      </c>
      <c r="R46" s="73">
        <f>P46*s_isospec!$C13</f>
        <v>1.9940368438356163E-12</v>
      </c>
      <c r="S46" s="74">
        <f t="shared" si="55"/>
        <v>1.9940368438356163E-12</v>
      </c>
      <c r="T46" s="70">
        <f>T$41*s_Aeq_Feq!$C13</f>
        <v>2</v>
      </c>
      <c r="U46" s="71">
        <f>IFERROR(T46*s_EFw*s_EDw*s_ETw*(1/24)*s_IRAw,".")</f>
        <v>13750</v>
      </c>
      <c r="V46" s="72">
        <f>IFERROR(T46*s_EFw*(1/365)*s_EDw*s_ETw*(1/24)*s_GSFa,".")</f>
        <v>2.5114155251141548</v>
      </c>
      <c r="W46" s="71">
        <f>U46*s_isospec!$B13</f>
        <v>0</v>
      </c>
      <c r="X46" s="73">
        <f>V46*s_isospec!$C13</f>
        <v>3.988073687671232E-8</v>
      </c>
      <c r="Y46" s="74">
        <f t="shared" si="56"/>
        <v>3.988073687671232E-8</v>
      </c>
      <c r="Z46" s="70">
        <f>Z$41*s_Aeq_Feq!$C13</f>
        <v>1.4528229872679561E-2</v>
      </c>
      <c r="AA46" s="71">
        <f>IFERROR(Z46*s_EFw*s_EDw*s_ETw*(1/24)*s_IRAw,".")</f>
        <v>99.881580374671969</v>
      </c>
      <c r="AB46" s="72">
        <f>IFERROR(Z46*s_EFw*(1/365)*s_EDw*s_ETw*(1/24)*s_GSFa,".")</f>
        <v>1.824321102733735E-2</v>
      </c>
      <c r="AC46" s="71">
        <f>IFERROR(AA46*s_isospec!$B13,".")</f>
        <v>0</v>
      </c>
      <c r="AD46" s="73">
        <f>IFERROR(AB46*s_isospec!$C13,".")</f>
        <v>2.8969825641836274E-10</v>
      </c>
      <c r="AE46" s="74">
        <f t="shared" si="57"/>
        <v>2.8969825641836274E-10</v>
      </c>
      <c r="AF46" s="70">
        <f>AF$41*s_Aeq_Feq!$C13</f>
        <v>1E-4</v>
      </c>
      <c r="AG46" s="71">
        <f>IFERROR(AF46*s_EFw*s_EDw*s_ETw*(1/24)*s_IRAw,".")</f>
        <v>0.6875</v>
      </c>
      <c r="AH46" s="72">
        <f>IFERROR(AF46*s_EFw*(1/365)*s_EDw*s_ETw*(1/24)*s_GSFa,".")</f>
        <v>1.2557077625570775E-4</v>
      </c>
      <c r="AI46" s="71">
        <f>AG46*s_isospec!$B13</f>
        <v>0</v>
      </c>
      <c r="AJ46" s="73">
        <f>AH46*s_isospec!$C13</f>
        <v>1.9940368438356163E-12</v>
      </c>
      <c r="AK46" s="74">
        <f t="shared" si="58"/>
        <v>1.9940368438356163E-12</v>
      </c>
    </row>
    <row r="47" spans="1:37" x14ac:dyDescent="0.25">
      <c r="A47" s="57" t="str">
        <f>s_isospec!A14</f>
        <v>Rn-222</v>
      </c>
      <c r="B47" s="102" t="s">
        <v>169</v>
      </c>
      <c r="C47" s="103" t="s">
        <v>179</v>
      </c>
      <c r="D47" s="104">
        <f>Cia_222*(s_Aeq_Feq!$E$14)</f>
        <v>1.73966222E-2</v>
      </c>
      <c r="E47" s="67">
        <f>IF(SUM(E48:E60)&lt;0.01,SUM(E48:E60),1-EXP(-SUM(E48:E60)))</f>
        <v>2.9062406770833326E-4</v>
      </c>
      <c r="F47" s="68">
        <f>IF(SUM(F48:F60)&lt;0.01,SUM(F48:F60),1-EXP(-SUM(F48:F60)))</f>
        <v>3.256909059291124E-6</v>
      </c>
      <c r="G47" s="69">
        <f>IF(SUM(G48:G60)&lt;0.01,SUM(G48:G60),1-EXP(-SUM(G48:G60)))</f>
        <v>2.9388097676762436E-4</v>
      </c>
      <c r="H47" s="102" t="s">
        <v>169</v>
      </c>
      <c r="I47" s="103" t="s">
        <v>179</v>
      </c>
      <c r="J47" s="104">
        <f>(H48/1000)*(s_Aeq_Feq!$E$14)</f>
        <v>1.5076043917789604E-4</v>
      </c>
      <c r="K47" s="67">
        <f>IF(SUM(K48:K60)&lt;0.01,SUM(K48:K60),1-EXP(-SUM(K48:K60)))</f>
        <v>2.5185700752514429E-6</v>
      </c>
      <c r="L47" s="68">
        <f>IF(SUM(L48:L60)&lt;0.01,SUM(L48:L60),1-EXP(-SUM(L48:L60)))</f>
        <v>2.822461938279019E-8</v>
      </c>
      <c r="M47" s="69">
        <f>IF(SUM(M48:M60)&lt;0.01,SUM(M48:M60),1-EXP(-SUM(M48:M60)))</f>
        <v>2.5467946946342328E-6</v>
      </c>
      <c r="N47" s="102" t="s">
        <v>169</v>
      </c>
      <c r="O47" s="103" t="s">
        <v>179</v>
      </c>
      <c r="P47" s="104">
        <f>(N48/1000)*(s_Aeq_Feq!$E$14)</f>
        <v>8.6983111000000011E-7</v>
      </c>
      <c r="Q47" s="67">
        <f>IF(SUM(Q48:Q60)&lt;0.01,SUM(Q48:Q60),1-EXP(-SUM(Q48:Q60)))</f>
        <v>1.4531203385416665E-8</v>
      </c>
      <c r="R47" s="68">
        <f>IF(SUM(R48:R60)&lt;0.01,SUM(R48:R60),1-EXP(-SUM(R48:R60)))</f>
        <v>1.6284545296455621E-10</v>
      </c>
      <c r="S47" s="69">
        <f>IF(SUM(S48:S60)&lt;0.01,SUM(S48:S60),1-EXP(-SUM(S48:S60)))</f>
        <v>1.4694048838381223E-8</v>
      </c>
      <c r="T47" s="102" t="s">
        <v>169</v>
      </c>
      <c r="U47" s="103" t="s">
        <v>179</v>
      </c>
      <c r="V47" s="104">
        <f>Cia_222*(s_Aeq_Feq!$G$14)</f>
        <v>1.73966222E-2</v>
      </c>
      <c r="W47" s="67">
        <f>IF(SUM(W48:W60)&lt;0.01,SUM(W48:W60),1-EXP(-SUM(W48:W60)))</f>
        <v>9.964253749999998E-4</v>
      </c>
      <c r="X47" s="68">
        <f>IF(SUM(X48:X60)&lt;0.01,SUM(X48:X60),1-EXP(-SUM(X48:X60)))</f>
        <v>3.256909059291124E-6</v>
      </c>
      <c r="Y47" s="69">
        <f>IF(SUM(Y48:Y60)&lt;0.01,SUM(Y48:Y60),1-EXP(-SUM(Y48:Y60)))</f>
        <v>9.9968228405929085E-4</v>
      </c>
      <c r="Z47" s="102" t="s">
        <v>169</v>
      </c>
      <c r="AA47" s="103" t="s">
        <v>179</v>
      </c>
      <c r="AB47" s="104">
        <f>(Z48/1000)*(s_Aeq_Feq!$G$14)</f>
        <v>1.5076043917789604E-4</v>
      </c>
      <c r="AC47" s="67">
        <f>IF(SUM(AC48:AC60)&lt;0.01,SUM(AC48:AC60),1-EXP(-SUM(AC48:AC60)))</f>
        <v>8.6350974008620894E-6</v>
      </c>
      <c r="AD47" s="68">
        <f>IF(SUM(AD48:AD60)&lt;0.01,SUM(AD48:AD60),1-EXP(-SUM(AD48:AD60)))</f>
        <v>2.822461938279019E-8</v>
      </c>
      <c r="AE47" s="69">
        <f>IF(SUM(AE48:AE60)&lt;0.01,SUM(AE48:AE60),1-EXP(-SUM(AE48:AE60)))</f>
        <v>8.6633220202448793E-6</v>
      </c>
      <c r="AF47" s="102" t="s">
        <v>169</v>
      </c>
      <c r="AG47" s="103" t="s">
        <v>179</v>
      </c>
      <c r="AH47" s="104">
        <f>(AF48/1000)*(s_Aeq_Feq!$G$14)</f>
        <v>8.6983111000000011E-7</v>
      </c>
      <c r="AI47" s="67">
        <f>IF(SUM(AI48:AI60)&lt;0.01,SUM(AI48:AI60),1-EXP(-SUM(AI48:AI60)))</f>
        <v>4.9821268749999989E-8</v>
      </c>
      <c r="AJ47" s="68">
        <f>IF(SUM(AJ48:AJ60)&lt;0.01,SUM(AJ48:AJ60),1-EXP(-SUM(AJ48:AJ60)))</f>
        <v>1.6284545296455621E-10</v>
      </c>
      <c r="AK47" s="69">
        <f>IF(SUM(AK48:AK60)&lt;0.01,SUM(AK48:AK60),1-EXP(-SUM(AK48:AK60)))</f>
        <v>4.9984114202964555E-8</v>
      </c>
    </row>
    <row r="48" spans="1:37" x14ac:dyDescent="0.25">
      <c r="A48" s="23" t="str">
        <f>s_isospec!A14</f>
        <v>Rn-222</v>
      </c>
      <c r="B48" s="75">
        <f>Cia_222*1000</f>
        <v>5000</v>
      </c>
      <c r="C48" s="76">
        <f t="shared" ref="C48:C60" si="59">IFERROR(B48*s_IFAres_adj,".")</f>
        <v>10026041.666666666</v>
      </c>
      <c r="D48" s="77">
        <f t="shared" ref="D48:D60" si="60">IFERROR(B48*s_EFres*(1/365)*s_EDres*s_ETres*(1/24)*s_GSFa,".")</f>
        <v>6278.5388127853876</v>
      </c>
      <c r="E48" s="76">
        <f>C48*s_isospec!$B14</f>
        <v>2.2859374999999998E-5</v>
      </c>
      <c r="F48" s="78">
        <f>D48*s_isospec!$C14</f>
        <v>1.0190114753424657E-8</v>
      </c>
      <c r="G48" s="74">
        <f>SUM(E48:F48)</f>
        <v>2.2869565114753425E-5</v>
      </c>
      <c r="H48" s="70">
        <f>IFERROR(Cia_222*(s_AFgw*1000*s_isospec!$M14),".")</f>
        <v>43.33037685266742</v>
      </c>
      <c r="I48" s="71">
        <f t="shared" ref="I48:I60" si="61">IFERROR(H48*s_IFAres_adj,".")</f>
        <v>86886.43275144248</v>
      </c>
      <c r="J48" s="72">
        <f t="shared" ref="J48:J60" si="62">IFERROR(H48*s_EFres*(1/365)*s_EDres*s_ETres*(1/24)*s_GSFa,".")</f>
        <v>54.410290568417992</v>
      </c>
      <c r="K48" s="71">
        <f>IFERROR(I48*s_isospec!$B14,".")</f>
        <v>1.9810106667328884E-7</v>
      </c>
      <c r="L48" s="73">
        <f>IFERROR(J48*s_isospec!$C14,".")</f>
        <v>8.8308302487563316E-11</v>
      </c>
      <c r="M48" s="74">
        <f t="shared" ref="M48:M60" si="63">SUM(K48:L48)</f>
        <v>1.9818937497577641E-7</v>
      </c>
      <c r="N48" s="70">
        <f>Cia_222*s_AFss</f>
        <v>0.25</v>
      </c>
      <c r="O48" s="71">
        <f t="shared" ref="O48:O60" si="64">IFERROR(N48*s_IFAres_adj,".")</f>
        <v>501.30208333333331</v>
      </c>
      <c r="P48" s="72">
        <f t="shared" ref="P48:P60" si="65">IFERROR(N48*s_EFres*(1/365)*s_EDres*s_ETres*(1/24)*s_GSFa,".")</f>
        <v>0.31392694063926935</v>
      </c>
      <c r="Q48" s="71">
        <f>O48*s_isospec!$B14</f>
        <v>1.1429687499999998E-9</v>
      </c>
      <c r="R48" s="73">
        <f>P48*s_isospec!$C14</f>
        <v>5.0950573767123283E-13</v>
      </c>
      <c r="S48" s="74">
        <f t="shared" ref="S48:S60" si="66">SUM(Q48:R48)</f>
        <v>1.143478255737671E-9</v>
      </c>
      <c r="T48" s="75">
        <f>Cia_222*1000</f>
        <v>5000</v>
      </c>
      <c r="U48" s="71">
        <f>IFERROR(T48*s_EFw*s_EDw*s_ETw*(1/24)*s_IRAw,".")</f>
        <v>34375000</v>
      </c>
      <c r="V48" s="72">
        <f>IFERROR(T48*s_EFw*(1/365)*s_EDw*s_ETw*(1/24)*s_GSFa,".")</f>
        <v>6278.5388127853876</v>
      </c>
      <c r="W48" s="76">
        <f>U48*s_isospec!$B14</f>
        <v>7.8374999999999994E-5</v>
      </c>
      <c r="X48" s="78">
        <f>V48*s_isospec!$C14</f>
        <v>1.0190114753424657E-8</v>
      </c>
      <c r="Y48" s="74">
        <f>SUM(W48:X48)</f>
        <v>7.8385190114753424E-5</v>
      </c>
      <c r="Z48" s="70">
        <f>IFERROR(Cia_222*(s_AFgw*1000*s_isospec!$M14),".")</f>
        <v>43.33037685266742</v>
      </c>
      <c r="AA48" s="71">
        <f>IFERROR(Z48*s_EFw*s_EDw*s_ETw*(1/24)*s_IRAw,".")</f>
        <v>297896.34086208849</v>
      </c>
      <c r="AB48" s="72">
        <f>IFERROR(Z48*s_EFw*(1/365)*s_EDw*s_ETw*(1/24)*s_GSFa,".")</f>
        <v>54.410290568417992</v>
      </c>
      <c r="AC48" s="71">
        <f>IFERROR(AA48*s_isospec!$B14,".")</f>
        <v>6.7920365716556172E-7</v>
      </c>
      <c r="AD48" s="73">
        <f>IFERROR(AB48*s_isospec!$C14,".")</f>
        <v>8.8308302487563316E-11</v>
      </c>
      <c r="AE48" s="74">
        <f t="shared" ref="AE48:AE60" si="67">SUM(AC48:AD48)</f>
        <v>6.7929196546804931E-7</v>
      </c>
      <c r="AF48" s="70">
        <f>Cia_222*s_AFss</f>
        <v>0.25</v>
      </c>
      <c r="AG48" s="71">
        <f>IFERROR(AF48*s_EFw*s_EDw*s_ETw*(1/24)*s_IRAw,".")</f>
        <v>1718.75</v>
      </c>
      <c r="AH48" s="72">
        <f>IFERROR(AF48*s_EFw*(1/365)*s_EDw*s_ETw*(1/24)*s_GSFa,".")</f>
        <v>0.31392694063926935</v>
      </c>
      <c r="AI48" s="71">
        <f>AG48*s_isospec!$B14</f>
        <v>3.9187499999999999E-9</v>
      </c>
      <c r="AJ48" s="73">
        <f>AH48*s_isospec!$C14</f>
        <v>5.0950573767123283E-13</v>
      </c>
      <c r="AK48" s="74">
        <f t="shared" ref="AK48:AK60" si="68">SUM(AI48:AJ48)</f>
        <v>3.9192595057376715E-9</v>
      </c>
    </row>
    <row r="49" spans="1:37" x14ac:dyDescent="0.25">
      <c r="A49" s="23" t="str">
        <f>s_isospec!A15</f>
        <v>Rn-222~At-218</v>
      </c>
      <c r="B49" s="70">
        <f>B$48*s_Aeq_Feq!$B15</f>
        <v>0.72499999999999998</v>
      </c>
      <c r="C49" s="71">
        <f t="shared" si="59"/>
        <v>1453.7760416666665</v>
      </c>
      <c r="D49" s="72">
        <f t="shared" si="60"/>
        <v>0.91038812785388123</v>
      </c>
      <c r="E49" s="71">
        <f>C49*s_isospec!$B15</f>
        <v>0</v>
      </c>
      <c r="F49" s="73">
        <f>D49*s_isospec!$C15</f>
        <v>2.803995433789954E-14</v>
      </c>
      <c r="G49" s="74">
        <f t="shared" ref="G49:G60" si="69">SUM(E49:F49)</f>
        <v>2.803995433789954E-14</v>
      </c>
      <c r="H49" s="70">
        <f>H$48*s_Aeq_Feq!$B15</f>
        <v>6.2829046436367764E-3</v>
      </c>
      <c r="I49" s="71">
        <f t="shared" si="61"/>
        <v>12.59853274895916</v>
      </c>
      <c r="J49" s="72">
        <f t="shared" si="62"/>
        <v>7.8894921324206106E-3</v>
      </c>
      <c r="K49" s="71">
        <f>IFERROR(I49*s_isospec!$B15,".")</f>
        <v>0</v>
      </c>
      <c r="L49" s="73">
        <f>IFERROR(J49*s_isospec!$C15,".")</f>
        <v>2.4299635767855479E-16</v>
      </c>
      <c r="M49" s="74">
        <f t="shared" si="63"/>
        <v>2.4299635767855479E-16</v>
      </c>
      <c r="N49" s="70">
        <f>N$48*s_Aeq_Feq!$B15</f>
        <v>3.625E-5</v>
      </c>
      <c r="O49" s="71">
        <f t="shared" si="64"/>
        <v>7.2688802083333337E-2</v>
      </c>
      <c r="P49" s="72">
        <f t="shared" si="65"/>
        <v>4.5519406392694056E-5</v>
      </c>
      <c r="Q49" s="71">
        <f>O49*s_isospec!$B15</f>
        <v>0</v>
      </c>
      <c r="R49" s="73">
        <f>P49*s_isospec!$C15</f>
        <v>1.4019977168949769E-18</v>
      </c>
      <c r="S49" s="74">
        <f t="shared" si="66"/>
        <v>1.4019977168949769E-18</v>
      </c>
      <c r="T49" s="70">
        <f>T$48*s_Aeq_Feq!$C15</f>
        <v>0.72499999999999998</v>
      </c>
      <c r="U49" s="71">
        <f>IFERROR(T49*s_EFw*s_EDw*s_ETw*(1/24)*s_IRAw,".")</f>
        <v>4984.3749999999991</v>
      </c>
      <c r="V49" s="72">
        <f>IFERROR(T49*s_EFw*(1/365)*s_EDw*s_ETw*(1/24)*s_GSFa,".")</f>
        <v>0.91038812785388123</v>
      </c>
      <c r="W49" s="71">
        <f>U49*s_isospec!$B15</f>
        <v>0</v>
      </c>
      <c r="X49" s="73">
        <f>V49*s_isospec!$C15</f>
        <v>2.803995433789954E-14</v>
      </c>
      <c r="Y49" s="74">
        <f t="shared" ref="Y49:Y60" si="70">SUM(W49:X49)</f>
        <v>2.803995433789954E-14</v>
      </c>
      <c r="Z49" s="70">
        <f>Z$48*s_Aeq_Feq!$C15</f>
        <v>6.2829046436367764E-3</v>
      </c>
      <c r="AA49" s="71">
        <f>IFERROR(Z49*s_EFw*s_EDw*s_ETw*(1/24)*s_IRAw,".")</f>
        <v>43.194969425002839</v>
      </c>
      <c r="AB49" s="72">
        <f>IFERROR(Z49*s_EFw*(1/365)*s_EDw*s_ETw*(1/24)*s_GSFa,".")</f>
        <v>7.8894921324206106E-3</v>
      </c>
      <c r="AC49" s="71">
        <f>IFERROR(AA49*s_isospec!$B15,".")</f>
        <v>0</v>
      </c>
      <c r="AD49" s="73">
        <f>IFERROR(AB49*s_isospec!$C15,".")</f>
        <v>2.4299635767855479E-16</v>
      </c>
      <c r="AE49" s="74">
        <f t="shared" si="67"/>
        <v>2.4299635767855479E-16</v>
      </c>
      <c r="AF49" s="70">
        <f>AF$48*s_Aeq_Feq!$C15</f>
        <v>3.625E-5</v>
      </c>
      <c r="AG49" s="71">
        <f>IFERROR(AF49*s_EFw*s_EDw*s_ETw*(1/24)*s_IRAw,".")</f>
        <v>0.24921874999999993</v>
      </c>
      <c r="AH49" s="72">
        <f>IFERROR(AF49*s_EFw*(1/365)*s_EDw*s_ETw*(1/24)*s_GSFa,".")</f>
        <v>4.5519406392694056E-5</v>
      </c>
      <c r="AI49" s="71">
        <f>AG49*s_isospec!$B15</f>
        <v>0</v>
      </c>
      <c r="AJ49" s="73">
        <f>AH49*s_isospec!$C15</f>
        <v>1.4019977168949769E-18</v>
      </c>
      <c r="AK49" s="74">
        <f t="shared" si="68"/>
        <v>1.4019977168949769E-18</v>
      </c>
    </row>
    <row r="50" spans="1:37" x14ac:dyDescent="0.25">
      <c r="A50" s="23" t="str">
        <f>s_isospec!A16</f>
        <v>Rn-222~Bi-210</v>
      </c>
      <c r="B50" s="70">
        <f>B$48*s_Aeq_Feq!$B16</f>
        <v>0</v>
      </c>
      <c r="C50" s="71">
        <f t="shared" si="59"/>
        <v>0</v>
      </c>
      <c r="D50" s="72">
        <f t="shared" si="60"/>
        <v>0</v>
      </c>
      <c r="E50" s="71">
        <f>C50*s_isospec!$B16</f>
        <v>0</v>
      </c>
      <c r="F50" s="73">
        <f>D50*s_isospec!$C16</f>
        <v>0</v>
      </c>
      <c r="G50" s="74">
        <f t="shared" si="69"/>
        <v>0</v>
      </c>
      <c r="H50" s="70">
        <f>H$48*s_Aeq_Feq!$B16</f>
        <v>0</v>
      </c>
      <c r="I50" s="71">
        <f t="shared" si="61"/>
        <v>0</v>
      </c>
      <c r="J50" s="72">
        <f t="shared" si="62"/>
        <v>0</v>
      </c>
      <c r="K50" s="71">
        <f>IFERROR(I50*s_isospec!$B16,".")</f>
        <v>0</v>
      </c>
      <c r="L50" s="73">
        <f>IFERROR(J50*s_isospec!$C16,".")</f>
        <v>0</v>
      </c>
      <c r="M50" s="74">
        <f t="shared" si="63"/>
        <v>0</v>
      </c>
      <c r="N50" s="70">
        <f>N$48*s_Aeq_Feq!$B16</f>
        <v>0</v>
      </c>
      <c r="O50" s="71">
        <f t="shared" si="64"/>
        <v>0</v>
      </c>
      <c r="P50" s="72">
        <f t="shared" si="65"/>
        <v>0</v>
      </c>
      <c r="Q50" s="71">
        <f>O50*s_isospec!$B16</f>
        <v>0</v>
      </c>
      <c r="R50" s="73">
        <f>P50*s_isospec!$C16</f>
        <v>0</v>
      </c>
      <c r="S50" s="74">
        <f t="shared" si="66"/>
        <v>0</v>
      </c>
      <c r="T50" s="70">
        <f>T$48*s_Aeq_Feq!$C16</f>
        <v>0</v>
      </c>
      <c r="U50" s="71">
        <f>IFERROR(T50*s_EFw*s_EDw*s_ETw*(1/24)*s_IRAw,".")</f>
        <v>0</v>
      </c>
      <c r="V50" s="72">
        <f>IFERROR(T50*s_EFw*(1/365)*s_EDw*s_ETw*(1/24)*s_GSFa,".")</f>
        <v>0</v>
      </c>
      <c r="W50" s="71">
        <f>U50*s_isospec!$B16</f>
        <v>0</v>
      </c>
      <c r="X50" s="73">
        <f>V50*s_isospec!$C16</f>
        <v>0</v>
      </c>
      <c r="Y50" s="74">
        <f t="shared" si="70"/>
        <v>0</v>
      </c>
      <c r="Z50" s="70">
        <f>Z$48*s_Aeq_Feq!$C16</f>
        <v>0</v>
      </c>
      <c r="AA50" s="71">
        <f>IFERROR(Z50*s_EFw*s_EDw*s_ETw*(1/24)*s_IRAw,".")</f>
        <v>0</v>
      </c>
      <c r="AB50" s="72">
        <f>IFERROR(Z50*s_EFw*(1/365)*s_EDw*s_ETw*(1/24)*s_GSFa,".")</f>
        <v>0</v>
      </c>
      <c r="AC50" s="71">
        <f>IFERROR(AA50*s_isospec!$B16,".")</f>
        <v>0</v>
      </c>
      <c r="AD50" s="73">
        <f>IFERROR(AB50*s_isospec!$C16,".")</f>
        <v>0</v>
      </c>
      <c r="AE50" s="74">
        <f t="shared" si="67"/>
        <v>0</v>
      </c>
      <c r="AF50" s="70">
        <f>AF$48*s_Aeq_Feq!$C16</f>
        <v>0</v>
      </c>
      <c r="AG50" s="71">
        <f>IFERROR(AF50*s_EFw*s_EDw*s_ETw*(1/24)*s_IRAw,".")</f>
        <v>0</v>
      </c>
      <c r="AH50" s="72">
        <f>IFERROR(AF50*s_EFw*(1/365)*s_EDw*s_ETw*(1/24)*s_GSFa,".")</f>
        <v>0</v>
      </c>
      <c r="AI50" s="71">
        <f>AG50*s_isospec!$B16</f>
        <v>0</v>
      </c>
      <c r="AJ50" s="73">
        <f>AH50*s_isospec!$C16</f>
        <v>0</v>
      </c>
      <c r="AK50" s="74">
        <f t="shared" si="68"/>
        <v>0</v>
      </c>
    </row>
    <row r="51" spans="1:37" x14ac:dyDescent="0.25">
      <c r="A51" s="23" t="str">
        <f>s_isospec!A17</f>
        <v>Rn-222~Bi-214</v>
      </c>
      <c r="B51" s="70">
        <f>B$48*s_Aeq_Feq!$B17</f>
        <v>254.5</v>
      </c>
      <c r="C51" s="71">
        <f t="shared" si="59"/>
        <v>510325.52083333331</v>
      </c>
      <c r="D51" s="72">
        <f t="shared" si="60"/>
        <v>319.57762557077626</v>
      </c>
      <c r="E51" s="71">
        <f>C51*s_isospec!$B17</f>
        <v>3.1538117187499994E-5</v>
      </c>
      <c r="F51" s="73">
        <f>D51*s_isospec!$C17</f>
        <v>2.137974315068493E-6</v>
      </c>
      <c r="G51" s="74">
        <f t="shared" si="69"/>
        <v>3.367609150256849E-5</v>
      </c>
      <c r="H51" s="70">
        <f>H$48*s_Aeq_Feq!$B17</f>
        <v>2.2055161818007716</v>
      </c>
      <c r="I51" s="71">
        <f t="shared" si="61"/>
        <v>4422.5194270484217</v>
      </c>
      <c r="J51" s="72">
        <f t="shared" si="62"/>
        <v>2.769483789932476</v>
      </c>
      <c r="K51" s="71">
        <f>IFERROR(I51*s_isospec!$B17,".")</f>
        <v>2.7331170059159246E-7</v>
      </c>
      <c r="L51" s="73">
        <f>IFERROR(J51*s_isospec!$C17,".")</f>
        <v>1.8527846554648264E-8</v>
      </c>
      <c r="M51" s="74">
        <f t="shared" si="63"/>
        <v>2.9183954714624071E-7</v>
      </c>
      <c r="N51" s="70">
        <f>N$48*s_Aeq_Feq!$B17</f>
        <v>1.2725E-2</v>
      </c>
      <c r="O51" s="71">
        <f t="shared" si="64"/>
        <v>25.516276041666668</v>
      </c>
      <c r="P51" s="72">
        <f t="shared" si="65"/>
        <v>1.597888127853881E-2</v>
      </c>
      <c r="Q51" s="71">
        <f>O51*s_isospec!$B17</f>
        <v>1.576905859375E-9</v>
      </c>
      <c r="R51" s="73">
        <f>P51*s_isospec!$C17</f>
        <v>1.0689871575342464E-10</v>
      </c>
      <c r="S51" s="74">
        <f t="shared" si="66"/>
        <v>1.6838045751284247E-9</v>
      </c>
      <c r="T51" s="70">
        <f>T$48*s_Aeq_Feq!$C17</f>
        <v>254.5</v>
      </c>
      <c r="U51" s="71">
        <f>IFERROR(T51*s_EFw*s_EDw*s_ETw*(1/24)*s_IRAw,".")</f>
        <v>1749687.5</v>
      </c>
      <c r="V51" s="72">
        <f>IFERROR(T51*s_EFw*(1/365)*s_EDw*s_ETw*(1/24)*s_GSFa,".")</f>
        <v>319.57762557077626</v>
      </c>
      <c r="W51" s="71">
        <f>U51*s_isospec!$B17</f>
        <v>1.0813068749999999E-4</v>
      </c>
      <c r="X51" s="73">
        <f>V51*s_isospec!$C17</f>
        <v>2.137974315068493E-6</v>
      </c>
      <c r="Y51" s="74">
        <f t="shared" si="70"/>
        <v>1.1026866181506848E-4</v>
      </c>
      <c r="Z51" s="70">
        <f>Z$48*s_Aeq_Feq!$C17</f>
        <v>2.2055161818007716</v>
      </c>
      <c r="AA51" s="71">
        <f>IFERROR(Z51*s_EFw*s_EDw*s_ETw*(1/24)*s_IRAw,".")</f>
        <v>15162.923749880303</v>
      </c>
      <c r="AB51" s="72">
        <f>IFERROR(Z51*s_EFw*(1/365)*s_EDw*s_ETw*(1/24)*s_GSFa,".")</f>
        <v>2.769483789932476</v>
      </c>
      <c r="AC51" s="71">
        <f>IFERROR(AA51*s_isospec!$B17,".")</f>
        <v>9.3706868774260269E-7</v>
      </c>
      <c r="AD51" s="73">
        <f>IFERROR(AB51*s_isospec!$C17,".")</f>
        <v>1.8527846554648264E-8</v>
      </c>
      <c r="AE51" s="74">
        <f t="shared" si="67"/>
        <v>9.5559653429725089E-7</v>
      </c>
      <c r="AF51" s="70">
        <f>AF$48*s_Aeq_Feq!$C17</f>
        <v>1.2725E-2</v>
      </c>
      <c r="AG51" s="71">
        <f>IFERROR(AF51*s_EFw*s_EDw*s_ETw*(1/24)*s_IRAw,".")</f>
        <v>87.484375</v>
      </c>
      <c r="AH51" s="72">
        <f>IFERROR(AF51*s_EFw*(1/365)*s_EDw*s_ETw*(1/24)*s_GSFa,".")</f>
        <v>1.597888127853881E-2</v>
      </c>
      <c r="AI51" s="71">
        <f>AG51*s_isospec!$B17</f>
        <v>5.4065343749999993E-9</v>
      </c>
      <c r="AJ51" s="73">
        <f>AH51*s_isospec!$C17</f>
        <v>1.0689871575342464E-10</v>
      </c>
      <c r="AK51" s="74">
        <f t="shared" si="68"/>
        <v>5.5134330907534238E-9</v>
      </c>
    </row>
    <row r="52" spans="1:37" x14ac:dyDescent="0.25">
      <c r="A52" s="23" t="str">
        <f>s_isospec!A18</f>
        <v>Rn-222~Hg-206</v>
      </c>
      <c r="B52" s="70">
        <f>B$48*s_Aeq_Feq!$B18</f>
        <v>0</v>
      </c>
      <c r="C52" s="71">
        <f t="shared" si="59"/>
        <v>0</v>
      </c>
      <c r="D52" s="72">
        <f t="shared" si="60"/>
        <v>0</v>
      </c>
      <c r="E52" s="71">
        <f>C52*s_isospec!$B18</f>
        <v>0</v>
      </c>
      <c r="F52" s="73">
        <f>D52*s_isospec!$C18</f>
        <v>0</v>
      </c>
      <c r="G52" s="74">
        <f t="shared" si="69"/>
        <v>0</v>
      </c>
      <c r="H52" s="70">
        <f>H$48*s_Aeq_Feq!$B18</f>
        <v>0</v>
      </c>
      <c r="I52" s="71">
        <f t="shared" si="61"/>
        <v>0</v>
      </c>
      <c r="J52" s="72">
        <f t="shared" si="62"/>
        <v>0</v>
      </c>
      <c r="K52" s="71">
        <f>IFERROR(I52*s_isospec!$B18,".")</f>
        <v>0</v>
      </c>
      <c r="L52" s="73">
        <f>IFERROR(J52*s_isospec!$C18,".")</f>
        <v>0</v>
      </c>
      <c r="M52" s="74">
        <f t="shared" si="63"/>
        <v>0</v>
      </c>
      <c r="N52" s="70">
        <f>N$48*s_Aeq_Feq!$B18</f>
        <v>0</v>
      </c>
      <c r="O52" s="71">
        <f t="shared" si="64"/>
        <v>0</v>
      </c>
      <c r="P52" s="72">
        <f t="shared" si="65"/>
        <v>0</v>
      </c>
      <c r="Q52" s="71">
        <f>O52*s_isospec!$B18</f>
        <v>0</v>
      </c>
      <c r="R52" s="73">
        <f>P52*s_isospec!$C18</f>
        <v>0</v>
      </c>
      <c r="S52" s="74">
        <f t="shared" si="66"/>
        <v>0</v>
      </c>
      <c r="T52" s="70">
        <f>T$48*s_Aeq_Feq!$C18</f>
        <v>0</v>
      </c>
      <c r="U52" s="71">
        <f>IFERROR(T52*s_EFw*s_EDw*s_ETw*(1/24)*s_IRAw,".")</f>
        <v>0</v>
      </c>
      <c r="V52" s="72">
        <f>IFERROR(T52*s_EFw*(1/365)*s_EDw*s_ETw*(1/24)*s_GSFa,".")</f>
        <v>0</v>
      </c>
      <c r="W52" s="71">
        <f>U52*s_isospec!$B18</f>
        <v>0</v>
      </c>
      <c r="X52" s="73">
        <f>V52*s_isospec!$C18</f>
        <v>0</v>
      </c>
      <c r="Y52" s="74">
        <f t="shared" si="70"/>
        <v>0</v>
      </c>
      <c r="Z52" s="70">
        <f>Z$48*s_Aeq_Feq!$C18</f>
        <v>0</v>
      </c>
      <c r="AA52" s="71">
        <f>IFERROR(Z52*s_EFw*s_EDw*s_ETw*(1/24)*s_IRAw,".")</f>
        <v>0</v>
      </c>
      <c r="AB52" s="72">
        <f>IFERROR(Z52*s_EFw*(1/365)*s_EDw*s_ETw*(1/24)*s_GSFa,".")</f>
        <v>0</v>
      </c>
      <c r="AC52" s="71">
        <f>IFERROR(AA52*s_isospec!$B18,".")</f>
        <v>0</v>
      </c>
      <c r="AD52" s="73">
        <f>IFERROR(AB52*s_isospec!$C18,".")</f>
        <v>0</v>
      </c>
      <c r="AE52" s="74">
        <f t="shared" si="67"/>
        <v>0</v>
      </c>
      <c r="AF52" s="70">
        <f>AF$48*s_Aeq_Feq!$C18</f>
        <v>0</v>
      </c>
      <c r="AG52" s="71">
        <f>IFERROR(AF52*s_EFw*s_EDw*s_ETw*(1/24)*s_IRAw,".")</f>
        <v>0</v>
      </c>
      <c r="AH52" s="72">
        <f>IFERROR(AF52*s_EFw*(1/365)*s_EDw*s_ETw*(1/24)*s_GSFa,".")</f>
        <v>0</v>
      </c>
      <c r="AI52" s="71">
        <f>AG52*s_isospec!$B18</f>
        <v>0</v>
      </c>
      <c r="AJ52" s="73">
        <f>AH52*s_isospec!$C18</f>
        <v>0</v>
      </c>
      <c r="AK52" s="74">
        <f t="shared" si="68"/>
        <v>0</v>
      </c>
    </row>
    <row r="53" spans="1:37" x14ac:dyDescent="0.25">
      <c r="A53" s="23" t="str">
        <f>s_isospec!A19</f>
        <v>Rn-222~Pb-210</v>
      </c>
      <c r="B53" s="70">
        <f>B$48*s_Aeq_Feq!$B19</f>
        <v>0</v>
      </c>
      <c r="C53" s="71">
        <f t="shared" si="59"/>
        <v>0</v>
      </c>
      <c r="D53" s="72">
        <f t="shared" si="60"/>
        <v>0</v>
      </c>
      <c r="E53" s="71">
        <f>C53*s_isospec!$B19</f>
        <v>0</v>
      </c>
      <c r="F53" s="73">
        <f>D53*s_isospec!$C19</f>
        <v>0</v>
      </c>
      <c r="G53" s="74">
        <f t="shared" si="69"/>
        <v>0</v>
      </c>
      <c r="H53" s="70">
        <f>H$48*s_Aeq_Feq!$B19</f>
        <v>0</v>
      </c>
      <c r="I53" s="71">
        <f t="shared" si="61"/>
        <v>0</v>
      </c>
      <c r="J53" s="72">
        <f t="shared" si="62"/>
        <v>0</v>
      </c>
      <c r="K53" s="71">
        <f>IFERROR(I53*s_isospec!$B19,".")</f>
        <v>0</v>
      </c>
      <c r="L53" s="73">
        <f>IFERROR(J53*s_isospec!$C19,".")</f>
        <v>0</v>
      </c>
      <c r="M53" s="74">
        <f t="shared" si="63"/>
        <v>0</v>
      </c>
      <c r="N53" s="70">
        <f>N$48*s_Aeq_Feq!$B19</f>
        <v>0</v>
      </c>
      <c r="O53" s="71">
        <f t="shared" si="64"/>
        <v>0</v>
      </c>
      <c r="P53" s="72">
        <f t="shared" si="65"/>
        <v>0</v>
      </c>
      <c r="Q53" s="71">
        <f>O53*s_isospec!$B19</f>
        <v>0</v>
      </c>
      <c r="R53" s="73">
        <f>P53*s_isospec!$C19</f>
        <v>0</v>
      </c>
      <c r="S53" s="74">
        <f t="shared" si="66"/>
        <v>0</v>
      </c>
      <c r="T53" s="70">
        <f>T$48*s_Aeq_Feq!$C19</f>
        <v>0</v>
      </c>
      <c r="U53" s="71">
        <f>IFERROR(T53*s_EFw*s_EDw*s_ETw*(1/24)*s_IRAw,".")</f>
        <v>0</v>
      </c>
      <c r="V53" s="72">
        <f>IFERROR(T53*s_EFw*(1/365)*s_EDw*s_ETw*(1/24)*s_GSFa,".")</f>
        <v>0</v>
      </c>
      <c r="W53" s="71">
        <f>U53*s_isospec!$B19</f>
        <v>0</v>
      </c>
      <c r="X53" s="73">
        <f>V53*s_isospec!$C19</f>
        <v>0</v>
      </c>
      <c r="Y53" s="74">
        <f t="shared" si="70"/>
        <v>0</v>
      </c>
      <c r="Z53" s="70">
        <f>Z$48*s_Aeq_Feq!$C19</f>
        <v>0</v>
      </c>
      <c r="AA53" s="71">
        <f>IFERROR(Z53*s_EFw*s_EDw*s_ETw*(1/24)*s_IRAw,".")</f>
        <v>0</v>
      </c>
      <c r="AB53" s="72">
        <f>IFERROR(Z53*s_EFw*(1/365)*s_EDw*s_ETw*(1/24)*s_GSFa,".")</f>
        <v>0</v>
      </c>
      <c r="AC53" s="71">
        <f>IFERROR(AA53*s_isospec!$B19,".")</f>
        <v>0</v>
      </c>
      <c r="AD53" s="73">
        <f>IFERROR(AB53*s_isospec!$C19,".")</f>
        <v>0</v>
      </c>
      <c r="AE53" s="74">
        <f t="shared" si="67"/>
        <v>0</v>
      </c>
      <c r="AF53" s="70">
        <f>AF$48*s_Aeq_Feq!$C19</f>
        <v>0</v>
      </c>
      <c r="AG53" s="71">
        <f>IFERROR(AF53*s_EFw*s_EDw*s_ETw*(1/24)*s_IRAw,".")</f>
        <v>0</v>
      </c>
      <c r="AH53" s="72">
        <f>IFERROR(AF53*s_EFw*(1/365)*s_EDw*s_ETw*(1/24)*s_GSFa,".")</f>
        <v>0</v>
      </c>
      <c r="AI53" s="71">
        <f>AG53*s_isospec!$B19</f>
        <v>0</v>
      </c>
      <c r="AJ53" s="73">
        <f>AH53*s_isospec!$C19</f>
        <v>0</v>
      </c>
      <c r="AK53" s="74">
        <f t="shared" si="68"/>
        <v>0</v>
      </c>
    </row>
    <row r="54" spans="1:37" x14ac:dyDescent="0.25">
      <c r="A54" s="23" t="str">
        <f>s_isospec!A20</f>
        <v>Rn-222~Pb-214</v>
      </c>
      <c r="B54" s="70">
        <f>B$48*s_Aeq_Feq!$B20</f>
        <v>864.99999999999989</v>
      </c>
      <c r="C54" s="71">
        <f t="shared" si="59"/>
        <v>1734505.208333333</v>
      </c>
      <c r="D54" s="72">
        <f t="shared" si="60"/>
        <v>1086.1872146118722</v>
      </c>
      <c r="E54" s="71">
        <f>C54*s_isospec!$B20</f>
        <v>1.3477105468749997E-4</v>
      </c>
      <c r="F54" s="73">
        <f>D54*s_isospec!$C20</f>
        <v>1.1079109589041096E-6</v>
      </c>
      <c r="G54" s="74">
        <f t="shared" si="69"/>
        <v>1.3587896564640407E-4</v>
      </c>
      <c r="H54" s="70">
        <f>H$48*s_Aeq_Feq!$B20</f>
        <v>7.4961551955114629</v>
      </c>
      <c r="I54" s="71">
        <f t="shared" si="61"/>
        <v>15031.352865999548</v>
      </c>
      <c r="J54" s="72">
        <f t="shared" si="62"/>
        <v>9.4129802683363124</v>
      </c>
      <c r="K54" s="71">
        <f>IFERROR(I54*s_isospec!$B20,".")</f>
        <v>1.1679361176881648E-6</v>
      </c>
      <c r="L54" s="73">
        <f>IFERROR(J54*s_isospec!$C20,".")</f>
        <v>9.6012398737030381E-9</v>
      </c>
      <c r="M54" s="74">
        <f t="shared" si="63"/>
        <v>1.1775373575618679E-6</v>
      </c>
      <c r="N54" s="70">
        <f>N$48*s_Aeq_Feq!$B20</f>
        <v>4.3249999999999997E-2</v>
      </c>
      <c r="O54" s="71">
        <f t="shared" si="64"/>
        <v>86.725260416666657</v>
      </c>
      <c r="P54" s="72">
        <f t="shared" si="65"/>
        <v>5.43093607305936E-2</v>
      </c>
      <c r="Q54" s="71">
        <f>O54*s_isospec!$B20</f>
        <v>6.7385527343749996E-9</v>
      </c>
      <c r="R54" s="73">
        <f>P54*s_isospec!$C20</f>
        <v>5.5395547945205475E-11</v>
      </c>
      <c r="S54" s="74">
        <f t="shared" si="66"/>
        <v>6.7939482823202051E-9</v>
      </c>
      <c r="T54" s="70">
        <f>T$48*s_Aeq_Feq!$C20</f>
        <v>864.99999999999989</v>
      </c>
      <c r="U54" s="71">
        <f>IFERROR(T54*s_EFw*s_EDw*s_ETw*(1/24)*s_IRAw,".")</f>
        <v>5946874.9999999991</v>
      </c>
      <c r="V54" s="72">
        <f>IFERROR(T54*s_EFw*(1/365)*s_EDw*s_ETw*(1/24)*s_GSFa,".")</f>
        <v>1086.1872146118722</v>
      </c>
      <c r="W54" s="71">
        <f>U54*s_isospec!$B20</f>
        <v>4.620721874999999E-4</v>
      </c>
      <c r="X54" s="73">
        <f>V54*s_isospec!$C20</f>
        <v>1.1079109589041096E-6</v>
      </c>
      <c r="Y54" s="74">
        <f t="shared" si="70"/>
        <v>4.63180098458904E-4</v>
      </c>
      <c r="Z54" s="70">
        <f>Z$48*s_Aeq_Feq!$C20</f>
        <v>7.4961551955114629</v>
      </c>
      <c r="AA54" s="71">
        <f>IFERROR(Z54*s_EFw*s_EDw*s_ETw*(1/24)*s_IRAw,".")</f>
        <v>51536.066969141306</v>
      </c>
      <c r="AB54" s="72">
        <f>IFERROR(Z54*s_EFw*(1/365)*s_EDw*s_ETw*(1/24)*s_GSFa,".")</f>
        <v>9.4129802683363124</v>
      </c>
      <c r="AC54" s="71">
        <f>IFERROR(AA54*s_isospec!$B20,".")</f>
        <v>4.0043524035022791E-6</v>
      </c>
      <c r="AD54" s="73">
        <f>IFERROR(AB54*s_isospec!$C20,".")</f>
        <v>9.6012398737030381E-9</v>
      </c>
      <c r="AE54" s="74">
        <f t="shared" si="67"/>
        <v>4.0139536433759824E-6</v>
      </c>
      <c r="AF54" s="70">
        <f>AF$48*s_Aeq_Feq!$C20</f>
        <v>4.3249999999999997E-2</v>
      </c>
      <c r="AG54" s="71">
        <f>IFERROR(AF54*s_EFw*s_EDw*s_ETw*(1/24)*s_IRAw,".")</f>
        <v>297.34374999999994</v>
      </c>
      <c r="AH54" s="72">
        <f>IFERROR(AF54*s_EFw*(1/365)*s_EDw*s_ETw*(1/24)*s_GSFa,".")</f>
        <v>5.43093607305936E-2</v>
      </c>
      <c r="AI54" s="71">
        <f>AG54*s_isospec!$B20</f>
        <v>2.3103609374999995E-8</v>
      </c>
      <c r="AJ54" s="73">
        <f>AH54*s_isospec!$C20</f>
        <v>5.5395547945205475E-11</v>
      </c>
      <c r="AK54" s="74">
        <f t="shared" si="68"/>
        <v>2.3159004922945202E-8</v>
      </c>
    </row>
    <row r="55" spans="1:37" x14ac:dyDescent="0.25">
      <c r="A55" s="23" t="str">
        <f>s_isospec!A21</f>
        <v>Rn-222~Po-210</v>
      </c>
      <c r="B55" s="70">
        <f>B$48*s_Aeq_Feq!$B21</f>
        <v>0</v>
      </c>
      <c r="C55" s="71">
        <f t="shared" si="59"/>
        <v>0</v>
      </c>
      <c r="D55" s="72">
        <f t="shared" si="60"/>
        <v>0</v>
      </c>
      <c r="E55" s="71">
        <f>C55*s_isospec!$B21</f>
        <v>0</v>
      </c>
      <c r="F55" s="73">
        <f>D55*s_isospec!$C21</f>
        <v>0</v>
      </c>
      <c r="G55" s="74">
        <f t="shared" si="69"/>
        <v>0</v>
      </c>
      <c r="H55" s="70">
        <f>H$48*s_Aeq_Feq!$B21</f>
        <v>0</v>
      </c>
      <c r="I55" s="71">
        <f t="shared" si="61"/>
        <v>0</v>
      </c>
      <c r="J55" s="72">
        <f t="shared" si="62"/>
        <v>0</v>
      </c>
      <c r="K55" s="71">
        <f>IFERROR(I55*s_isospec!$B21,".")</f>
        <v>0</v>
      </c>
      <c r="L55" s="73">
        <f>IFERROR(J55*s_isospec!$C21,".")</f>
        <v>0</v>
      </c>
      <c r="M55" s="74">
        <f t="shared" si="63"/>
        <v>0</v>
      </c>
      <c r="N55" s="70">
        <f>N$48*s_Aeq_Feq!$B21</f>
        <v>0</v>
      </c>
      <c r="O55" s="71">
        <f t="shared" si="64"/>
        <v>0</v>
      </c>
      <c r="P55" s="72">
        <f t="shared" si="65"/>
        <v>0</v>
      </c>
      <c r="Q55" s="71">
        <f>O55*s_isospec!$B21</f>
        <v>0</v>
      </c>
      <c r="R55" s="73">
        <f>P55*s_isospec!$C21</f>
        <v>0</v>
      </c>
      <c r="S55" s="74">
        <f t="shared" si="66"/>
        <v>0</v>
      </c>
      <c r="T55" s="70">
        <f>T$48*s_Aeq_Feq!$C21</f>
        <v>0</v>
      </c>
      <c r="U55" s="71">
        <f>IFERROR(T55*s_EFw*s_EDw*s_ETw*(1/24)*s_IRAw,".")</f>
        <v>0</v>
      </c>
      <c r="V55" s="72">
        <f>IFERROR(T55*s_EFw*(1/365)*s_EDw*s_ETw*(1/24)*s_GSFa,".")</f>
        <v>0</v>
      </c>
      <c r="W55" s="71">
        <f>U55*s_isospec!$B21</f>
        <v>0</v>
      </c>
      <c r="X55" s="73">
        <f>V55*s_isospec!$C21</f>
        <v>0</v>
      </c>
      <c r="Y55" s="74">
        <f t="shared" si="70"/>
        <v>0</v>
      </c>
      <c r="Z55" s="70">
        <f>Z$48*s_Aeq_Feq!$C21</f>
        <v>0</v>
      </c>
      <c r="AA55" s="71">
        <f>IFERROR(Z55*s_EFw*s_EDw*s_ETw*(1/24)*s_IRAw,".")</f>
        <v>0</v>
      </c>
      <c r="AB55" s="72">
        <f>IFERROR(Z55*s_EFw*(1/365)*s_EDw*s_ETw*(1/24)*s_GSFa,".")</f>
        <v>0</v>
      </c>
      <c r="AC55" s="71">
        <f>IFERROR(AA55*s_isospec!$B21,".")</f>
        <v>0</v>
      </c>
      <c r="AD55" s="73">
        <f>IFERROR(AB55*s_isospec!$C21,".")</f>
        <v>0</v>
      </c>
      <c r="AE55" s="74">
        <f t="shared" si="67"/>
        <v>0</v>
      </c>
      <c r="AF55" s="70">
        <f>AF$48*s_Aeq_Feq!$C21</f>
        <v>0</v>
      </c>
      <c r="AG55" s="71">
        <f>IFERROR(AF55*s_EFw*s_EDw*s_ETw*(1/24)*s_IRAw,".")</f>
        <v>0</v>
      </c>
      <c r="AH55" s="72">
        <f>IFERROR(AF55*s_EFw*(1/365)*s_EDw*s_ETw*(1/24)*s_GSFa,".")</f>
        <v>0</v>
      </c>
      <c r="AI55" s="71">
        <f>AG55*s_isospec!$B21</f>
        <v>0</v>
      </c>
      <c r="AJ55" s="73">
        <f>AH55*s_isospec!$C21</f>
        <v>0</v>
      </c>
      <c r="AK55" s="74">
        <f t="shared" si="68"/>
        <v>0</v>
      </c>
    </row>
    <row r="56" spans="1:37" x14ac:dyDescent="0.25">
      <c r="A56" s="23" t="str">
        <f>s_isospec!A22</f>
        <v>Rn-222~Po-214</v>
      </c>
      <c r="B56" s="70">
        <f>B$48*s_Aeq_Feq!$B22</f>
        <v>254.5</v>
      </c>
      <c r="C56" s="71">
        <f t="shared" si="59"/>
        <v>510325.52083333331</v>
      </c>
      <c r="D56" s="72">
        <f t="shared" si="60"/>
        <v>319.57762557077626</v>
      </c>
      <c r="E56" s="71">
        <f>C56*s_isospec!$B22</f>
        <v>0</v>
      </c>
      <c r="F56" s="73">
        <f>D56*s_isospec!$C22</f>
        <v>1.1408921232876712E-10</v>
      </c>
      <c r="G56" s="74">
        <f t="shared" si="69"/>
        <v>1.1408921232876712E-10</v>
      </c>
      <c r="H56" s="70">
        <f>H$48*s_Aeq_Feq!$B22</f>
        <v>2.2055161818007716</v>
      </c>
      <c r="I56" s="71">
        <f t="shared" si="61"/>
        <v>4422.5194270484217</v>
      </c>
      <c r="J56" s="72">
        <f t="shared" si="62"/>
        <v>2.769483789932476</v>
      </c>
      <c r="K56" s="71">
        <f>IFERROR(I56*s_isospec!$B22,".")</f>
        <v>0</v>
      </c>
      <c r="L56" s="73">
        <f>IFERROR(J56*s_isospec!$C22,".")</f>
        <v>9.8870571300589393E-13</v>
      </c>
      <c r="M56" s="74">
        <f t="shared" si="63"/>
        <v>9.8870571300589393E-13</v>
      </c>
      <c r="N56" s="70">
        <f>N$48*s_Aeq_Feq!$B22</f>
        <v>1.2725E-2</v>
      </c>
      <c r="O56" s="71">
        <f t="shared" si="64"/>
        <v>25.516276041666668</v>
      </c>
      <c r="P56" s="72">
        <f t="shared" si="65"/>
        <v>1.597888127853881E-2</v>
      </c>
      <c r="Q56" s="71">
        <f>O56*s_isospec!$B22</f>
        <v>0</v>
      </c>
      <c r="R56" s="73">
        <f>P56*s_isospec!$C22</f>
        <v>5.7044606164383548E-15</v>
      </c>
      <c r="S56" s="74">
        <f t="shared" si="66"/>
        <v>5.7044606164383548E-15</v>
      </c>
      <c r="T56" s="70">
        <f>T$48*s_Aeq_Feq!$C22</f>
        <v>254.5</v>
      </c>
      <c r="U56" s="71">
        <f>IFERROR(T56*s_EFw*s_EDw*s_ETw*(1/24)*s_IRAw,".")</f>
        <v>1749687.5</v>
      </c>
      <c r="V56" s="72">
        <f>IFERROR(T56*s_EFw*(1/365)*s_EDw*s_ETw*(1/24)*s_GSFa,".")</f>
        <v>319.57762557077626</v>
      </c>
      <c r="W56" s="71">
        <f>U56*s_isospec!$B22</f>
        <v>0</v>
      </c>
      <c r="X56" s="73">
        <f>V56*s_isospec!$C22</f>
        <v>1.1408921232876712E-10</v>
      </c>
      <c r="Y56" s="74">
        <f t="shared" si="70"/>
        <v>1.1408921232876712E-10</v>
      </c>
      <c r="Z56" s="70">
        <f>Z$48*s_Aeq_Feq!$C22</f>
        <v>2.2055161818007716</v>
      </c>
      <c r="AA56" s="71">
        <f>IFERROR(Z56*s_EFw*s_EDw*s_ETw*(1/24)*s_IRAw,".")</f>
        <v>15162.923749880303</v>
      </c>
      <c r="AB56" s="72">
        <f>IFERROR(Z56*s_EFw*(1/365)*s_EDw*s_ETw*(1/24)*s_GSFa,".")</f>
        <v>2.769483789932476</v>
      </c>
      <c r="AC56" s="71">
        <f>IFERROR(AA56*s_isospec!$B22,".")</f>
        <v>0</v>
      </c>
      <c r="AD56" s="73">
        <f>IFERROR(AB56*s_isospec!$C22,".")</f>
        <v>9.8870571300589393E-13</v>
      </c>
      <c r="AE56" s="74">
        <f t="shared" si="67"/>
        <v>9.8870571300589393E-13</v>
      </c>
      <c r="AF56" s="70">
        <f>AF$48*s_Aeq_Feq!$C22</f>
        <v>1.2725E-2</v>
      </c>
      <c r="AG56" s="71">
        <f>IFERROR(AF56*s_EFw*s_EDw*s_ETw*(1/24)*s_IRAw,".")</f>
        <v>87.484375</v>
      </c>
      <c r="AH56" s="72">
        <f>IFERROR(AF56*s_EFw*(1/365)*s_EDw*s_ETw*(1/24)*s_GSFa,".")</f>
        <v>1.597888127853881E-2</v>
      </c>
      <c r="AI56" s="71">
        <f>AG56*s_isospec!$B22</f>
        <v>0</v>
      </c>
      <c r="AJ56" s="73">
        <f>AH56*s_isospec!$C22</f>
        <v>5.7044606164383548E-15</v>
      </c>
      <c r="AK56" s="74">
        <f t="shared" si="68"/>
        <v>5.7044606164383548E-15</v>
      </c>
    </row>
    <row r="57" spans="1:37" x14ac:dyDescent="0.25">
      <c r="A57" s="23" t="str">
        <f>s_isospec!A23</f>
        <v>Rn-222~Po-218</v>
      </c>
      <c r="B57" s="70">
        <f>B$48*s_Aeq_Feq!$B23</f>
        <v>3640</v>
      </c>
      <c r="C57" s="71">
        <f t="shared" si="59"/>
        <v>7298958.333333333</v>
      </c>
      <c r="D57" s="72">
        <f t="shared" si="60"/>
        <v>4570.7762557077622</v>
      </c>
      <c r="E57" s="71">
        <f>C57*s_isospec!$B23</f>
        <v>1.0145552083333333E-4</v>
      </c>
      <c r="F57" s="73">
        <f>D57*s_isospec!$C23</f>
        <v>1.8054566210045661E-13</v>
      </c>
      <c r="G57" s="74">
        <f t="shared" si="69"/>
        <v>1.0145552101387898E-4</v>
      </c>
      <c r="H57" s="70">
        <f>H$48*s_Aeq_Feq!$B23</f>
        <v>31.544514348741881</v>
      </c>
      <c r="I57" s="71">
        <f t="shared" si="61"/>
        <v>63253.323043050121</v>
      </c>
      <c r="J57" s="72">
        <f t="shared" si="62"/>
        <v>39.610691533808293</v>
      </c>
      <c r="K57" s="71">
        <f>IFERROR(I57*s_isospec!$B23,".")</f>
        <v>8.7922119029839667E-7</v>
      </c>
      <c r="L57" s="73">
        <f>IFERROR(J57*s_isospec!$C23,".")</f>
        <v>1.5646223155854276E-15</v>
      </c>
      <c r="M57" s="74">
        <f t="shared" si="63"/>
        <v>8.7922119186301899E-7</v>
      </c>
      <c r="N57" s="70">
        <f>N$48*s_Aeq_Feq!$B23</f>
        <v>0.182</v>
      </c>
      <c r="O57" s="71">
        <f t="shared" si="64"/>
        <v>364.94791666666663</v>
      </c>
      <c r="P57" s="72">
        <f t="shared" si="65"/>
        <v>0.22853881278538815</v>
      </c>
      <c r="Q57" s="71">
        <f>O57*s_isospec!$B23</f>
        <v>5.0727760416666664E-9</v>
      </c>
      <c r="R57" s="73">
        <f>P57*s_isospec!$C23</f>
        <v>9.0272831050228322E-18</v>
      </c>
      <c r="S57" s="74">
        <f t="shared" si="66"/>
        <v>5.0727760506939499E-9</v>
      </c>
      <c r="T57" s="70">
        <f>T$48*s_Aeq_Feq!$C23</f>
        <v>3640</v>
      </c>
      <c r="U57" s="71">
        <f>IFERROR(T57*s_EFw*s_EDw*s_ETw*(1/24)*s_IRAw,".")</f>
        <v>25025000</v>
      </c>
      <c r="V57" s="72">
        <f>IFERROR(T57*s_EFw*(1/365)*s_EDw*s_ETw*(1/24)*s_GSFa,".")</f>
        <v>4570.7762557077622</v>
      </c>
      <c r="W57" s="71">
        <f>U57*s_isospec!$B23</f>
        <v>3.4784749999999999E-4</v>
      </c>
      <c r="X57" s="73">
        <f>V57*s_isospec!$C23</f>
        <v>1.8054566210045661E-13</v>
      </c>
      <c r="Y57" s="74">
        <f t="shared" si="70"/>
        <v>3.4784750018054567E-4</v>
      </c>
      <c r="Z57" s="70">
        <f>Z$48*s_Aeq_Feq!$C23</f>
        <v>31.544514348741881</v>
      </c>
      <c r="AA57" s="71">
        <f>IFERROR(Z57*s_EFw*s_EDw*s_ETw*(1/24)*s_IRAw,".")</f>
        <v>216868.53614760042</v>
      </c>
      <c r="AB57" s="72">
        <f>IFERROR(Z57*s_EFw*(1/365)*s_EDw*s_ETw*(1/24)*s_GSFa,".")</f>
        <v>39.610691533808293</v>
      </c>
      <c r="AC57" s="71">
        <f>IFERROR(AA57*s_isospec!$B23,".")</f>
        <v>3.014472652451646E-6</v>
      </c>
      <c r="AD57" s="73">
        <f>IFERROR(AB57*s_isospec!$C23,".")</f>
        <v>1.5646223155854276E-15</v>
      </c>
      <c r="AE57" s="74">
        <f t="shared" si="67"/>
        <v>3.0144726540162683E-6</v>
      </c>
      <c r="AF57" s="70">
        <f>AF$48*s_Aeq_Feq!$C23</f>
        <v>0.182</v>
      </c>
      <c r="AG57" s="71">
        <f>IFERROR(AF57*s_EFw*s_EDw*s_ETw*(1/24)*s_IRAw,".")</f>
        <v>1251.2499999999998</v>
      </c>
      <c r="AH57" s="72">
        <f>IFERROR(AF57*s_EFw*(1/365)*s_EDw*s_ETw*(1/24)*s_GSFa,".")</f>
        <v>0.22853881278538815</v>
      </c>
      <c r="AI57" s="71">
        <f>AG57*s_isospec!$B23</f>
        <v>1.7392374999999998E-8</v>
      </c>
      <c r="AJ57" s="73">
        <f>AH57*s_isospec!$C23</f>
        <v>9.0272831050228322E-18</v>
      </c>
      <c r="AK57" s="74">
        <f t="shared" si="68"/>
        <v>1.7392375009027282E-8</v>
      </c>
    </row>
    <row r="58" spans="1:37" x14ac:dyDescent="0.25">
      <c r="A58" s="23" t="str">
        <f>s_isospec!A24</f>
        <v>Rn-222~Rn-218</v>
      </c>
      <c r="B58" s="70">
        <f>B$48*s_Aeq_Feq!$B24</f>
        <v>7.2499999999999995E-4</v>
      </c>
      <c r="C58" s="71">
        <f t="shared" si="59"/>
        <v>1.4537760416666665</v>
      </c>
      <c r="D58" s="72">
        <f t="shared" si="60"/>
        <v>9.1038812785388095E-4</v>
      </c>
      <c r="E58" s="71">
        <f>C58*s_isospec!$B24</f>
        <v>0</v>
      </c>
      <c r="F58" s="73">
        <f>D58*s_isospec!$C24</f>
        <v>2.9041381278538801E-15</v>
      </c>
      <c r="G58" s="74">
        <f t="shared" si="69"/>
        <v>2.9041381278538801E-15</v>
      </c>
      <c r="H58" s="70">
        <f>H$48*s_Aeq_Feq!$B24</f>
        <v>6.2829046436367753E-6</v>
      </c>
      <c r="I58" s="71">
        <f t="shared" si="61"/>
        <v>1.2598532748959158E-2</v>
      </c>
      <c r="J58" s="72">
        <f t="shared" si="62"/>
        <v>7.8894921324206089E-6</v>
      </c>
      <c r="K58" s="71">
        <f>IFERROR(I58*s_isospec!$B24,".")</f>
        <v>0</v>
      </c>
      <c r="L58" s="73">
        <f>IFERROR(J58*s_isospec!$C24,".")</f>
        <v>2.5167479902421741E-17</v>
      </c>
      <c r="M58" s="74">
        <f t="shared" si="63"/>
        <v>2.5167479902421741E-17</v>
      </c>
      <c r="N58" s="70">
        <f>N$48*s_Aeq_Feq!$B24</f>
        <v>3.6249999999999997E-8</v>
      </c>
      <c r="O58" s="71">
        <f t="shared" si="64"/>
        <v>7.2688802083333324E-5</v>
      </c>
      <c r="P58" s="72">
        <f t="shared" si="65"/>
        <v>4.5519406392694059E-8</v>
      </c>
      <c r="Q58" s="71">
        <f>O58*s_isospec!$B24</f>
        <v>0</v>
      </c>
      <c r="R58" s="73">
        <f>P58*s_isospec!$C24</f>
        <v>1.4520690639269406E-19</v>
      </c>
      <c r="S58" s="74">
        <f t="shared" si="66"/>
        <v>1.4520690639269406E-19</v>
      </c>
      <c r="T58" s="70">
        <f>T$48*s_Aeq_Feq!$C24</f>
        <v>7.2499999999999995E-4</v>
      </c>
      <c r="U58" s="71">
        <f>IFERROR(T58*s_EFw*s_EDw*s_ETw*(1/24)*s_IRAw,".")</f>
        <v>4.9843749999999991</v>
      </c>
      <c r="V58" s="72">
        <f>IFERROR(T58*s_EFw*(1/365)*s_EDw*s_ETw*(1/24)*s_GSFa,".")</f>
        <v>9.1038812785388095E-4</v>
      </c>
      <c r="W58" s="71">
        <f>U58*s_isospec!$B24</f>
        <v>0</v>
      </c>
      <c r="X58" s="73">
        <f>V58*s_isospec!$C24</f>
        <v>2.9041381278538801E-15</v>
      </c>
      <c r="Y58" s="74">
        <f t="shared" si="70"/>
        <v>2.9041381278538801E-15</v>
      </c>
      <c r="Z58" s="70">
        <f>Z$48*s_Aeq_Feq!$C24</f>
        <v>6.2829046436367753E-6</v>
      </c>
      <c r="AA58" s="71">
        <f>IFERROR(Z58*s_EFw*s_EDw*s_ETw*(1/24)*s_IRAw,".")</f>
        <v>4.3194969425002824E-2</v>
      </c>
      <c r="AB58" s="72">
        <f>IFERROR(Z58*s_EFw*(1/365)*s_EDw*s_ETw*(1/24)*s_GSFa,".")</f>
        <v>7.8894921324206089E-6</v>
      </c>
      <c r="AC58" s="71">
        <f>IFERROR(AA58*s_isospec!$B24,".")</f>
        <v>0</v>
      </c>
      <c r="AD58" s="73">
        <f>IFERROR(AB58*s_isospec!$C24,".")</f>
        <v>2.5167479902421741E-17</v>
      </c>
      <c r="AE58" s="74">
        <f t="shared" si="67"/>
        <v>2.5167479902421741E-17</v>
      </c>
      <c r="AF58" s="70">
        <f>AF$48*s_Aeq_Feq!$C24</f>
        <v>3.6249999999999997E-8</v>
      </c>
      <c r="AG58" s="71">
        <f>IFERROR(AF58*s_EFw*s_EDw*s_ETw*(1/24)*s_IRAw,".")</f>
        <v>2.4921874999999993E-4</v>
      </c>
      <c r="AH58" s="72">
        <f>IFERROR(AF58*s_EFw*(1/365)*s_EDw*s_ETw*(1/24)*s_GSFa,".")</f>
        <v>4.5519406392694059E-8</v>
      </c>
      <c r="AI58" s="71">
        <f>AG58*s_isospec!$B24</f>
        <v>0</v>
      </c>
      <c r="AJ58" s="73">
        <f>AH58*s_isospec!$C24</f>
        <v>1.4520690639269406E-19</v>
      </c>
      <c r="AK58" s="74">
        <f t="shared" si="68"/>
        <v>1.4520690639269406E-19</v>
      </c>
    </row>
    <row r="59" spans="1:37" x14ac:dyDescent="0.25">
      <c r="A59" s="23" t="str">
        <f>s_isospec!A25</f>
        <v>Rn-222~Tl-206</v>
      </c>
      <c r="B59" s="70">
        <f>B$48*s_Aeq_Feq!$B25</f>
        <v>0</v>
      </c>
      <c r="C59" s="71">
        <f t="shared" si="59"/>
        <v>0</v>
      </c>
      <c r="D59" s="72">
        <f t="shared" si="60"/>
        <v>0</v>
      </c>
      <c r="E59" s="71">
        <f>C59*s_isospec!$B25</f>
        <v>0</v>
      </c>
      <c r="F59" s="73">
        <f>D59*s_isospec!$C25</f>
        <v>0</v>
      </c>
      <c r="G59" s="74">
        <f t="shared" si="69"/>
        <v>0</v>
      </c>
      <c r="H59" s="70">
        <f>H$48*s_Aeq_Feq!$B25</f>
        <v>0</v>
      </c>
      <c r="I59" s="71">
        <f t="shared" si="61"/>
        <v>0</v>
      </c>
      <c r="J59" s="72">
        <f t="shared" si="62"/>
        <v>0</v>
      </c>
      <c r="K59" s="71">
        <f>IFERROR(I59*s_isospec!$B25,".")</f>
        <v>0</v>
      </c>
      <c r="L59" s="73">
        <f>IFERROR(J59*s_isospec!$C25,".")</f>
        <v>0</v>
      </c>
      <c r="M59" s="74">
        <f t="shared" si="63"/>
        <v>0</v>
      </c>
      <c r="N59" s="70">
        <f>N$48*s_Aeq_Feq!$B25</f>
        <v>0</v>
      </c>
      <c r="O59" s="71">
        <f t="shared" si="64"/>
        <v>0</v>
      </c>
      <c r="P59" s="72">
        <f t="shared" si="65"/>
        <v>0</v>
      </c>
      <c r="Q59" s="71">
        <f>O59*s_isospec!$B25</f>
        <v>0</v>
      </c>
      <c r="R59" s="73">
        <f>P59*s_isospec!$C25</f>
        <v>0</v>
      </c>
      <c r="S59" s="74">
        <f t="shared" si="66"/>
        <v>0</v>
      </c>
      <c r="T59" s="70">
        <f>T$48*s_Aeq_Feq!$C25</f>
        <v>0</v>
      </c>
      <c r="U59" s="71">
        <f>IFERROR(T59*s_EFw*s_EDw*s_ETw*(1/24)*s_IRAw,".")</f>
        <v>0</v>
      </c>
      <c r="V59" s="72">
        <f>IFERROR(T59*s_EFw*(1/365)*s_EDw*s_ETw*(1/24)*s_GSFa,".")</f>
        <v>0</v>
      </c>
      <c r="W59" s="71">
        <f>U59*s_isospec!$B25</f>
        <v>0</v>
      </c>
      <c r="X59" s="73">
        <f>V59*s_isospec!$C25</f>
        <v>0</v>
      </c>
      <c r="Y59" s="74">
        <f t="shared" si="70"/>
        <v>0</v>
      </c>
      <c r="Z59" s="70">
        <f>Z$48*s_Aeq_Feq!$C25</f>
        <v>0</v>
      </c>
      <c r="AA59" s="71">
        <f>IFERROR(Z59*s_EFw*s_EDw*s_ETw*(1/24)*s_IRAw,".")</f>
        <v>0</v>
      </c>
      <c r="AB59" s="72">
        <f>IFERROR(Z59*s_EFw*(1/365)*s_EDw*s_ETw*(1/24)*s_GSFa,".")</f>
        <v>0</v>
      </c>
      <c r="AC59" s="71">
        <f>IFERROR(AA59*s_isospec!$B25,".")</f>
        <v>0</v>
      </c>
      <c r="AD59" s="73">
        <f>IFERROR(AB59*s_isospec!$C25,".")</f>
        <v>0</v>
      </c>
      <c r="AE59" s="74">
        <f t="shared" si="67"/>
        <v>0</v>
      </c>
      <c r="AF59" s="70">
        <f>AF$48*s_Aeq_Feq!$C25</f>
        <v>0</v>
      </c>
      <c r="AG59" s="71">
        <f>IFERROR(AF59*s_EFw*s_EDw*s_ETw*(1/24)*s_IRAw,".")</f>
        <v>0</v>
      </c>
      <c r="AH59" s="72">
        <f>IFERROR(AF59*s_EFw*(1/365)*s_EDw*s_ETw*(1/24)*s_GSFa,".")</f>
        <v>0</v>
      </c>
      <c r="AI59" s="71">
        <f>AG59*s_isospec!$B25</f>
        <v>0</v>
      </c>
      <c r="AJ59" s="73">
        <f>AH59*s_isospec!$C25</f>
        <v>0</v>
      </c>
      <c r="AK59" s="74">
        <f t="shared" si="68"/>
        <v>0</v>
      </c>
    </row>
    <row r="60" spans="1:37" ht="15.75" thickBot="1" x14ac:dyDescent="0.3">
      <c r="A60" s="23" t="str">
        <f>s_isospec!A26</f>
        <v>Rn-222~Tl-210</v>
      </c>
      <c r="B60" s="79">
        <f>B$48*s_Aeq_Feq!$B26</f>
        <v>4.6199999999999998E-2</v>
      </c>
      <c r="C60" s="80">
        <f t="shared" si="59"/>
        <v>92.640624999999986</v>
      </c>
      <c r="D60" s="81">
        <f t="shared" si="60"/>
        <v>5.801369863013698E-2</v>
      </c>
      <c r="E60" s="80">
        <f>C60*s_isospec!$B26</f>
        <v>0</v>
      </c>
      <c r="F60" s="82">
        <f>D60*s_isospec!$C26</f>
        <v>7.1936986301369852E-10</v>
      </c>
      <c r="G60" s="83">
        <f t="shared" si="69"/>
        <v>7.1936986301369852E-10</v>
      </c>
      <c r="H60" s="79">
        <f>H$48*s_Aeq_Feq!$B26</f>
        <v>4.0037268211864696E-4</v>
      </c>
      <c r="I60" s="80">
        <f t="shared" si="61"/>
        <v>0.80283063862332849</v>
      </c>
      <c r="J60" s="81">
        <f t="shared" si="62"/>
        <v>5.027510848521822E-4</v>
      </c>
      <c r="K60" s="80">
        <f>IFERROR(I60*s_isospec!$B26,".")</f>
        <v>0</v>
      </c>
      <c r="L60" s="82">
        <f>IFERROR(J60*s_isospec!$C26,".")</f>
        <v>6.2341134521670593E-12</v>
      </c>
      <c r="M60" s="83">
        <f t="shared" si="63"/>
        <v>6.2341134521670593E-12</v>
      </c>
      <c r="N60" s="79">
        <f>N$48*s_Aeq_Feq!$B26</f>
        <v>2.3099999999999999E-6</v>
      </c>
      <c r="O60" s="80">
        <f t="shared" si="64"/>
        <v>4.6320312499999999E-3</v>
      </c>
      <c r="P60" s="81">
        <f t="shared" si="65"/>
        <v>2.9006849315068489E-6</v>
      </c>
      <c r="Q60" s="80">
        <f>O60*s_isospec!$B26</f>
        <v>0</v>
      </c>
      <c r="R60" s="82">
        <f>P60*s_isospec!$C26</f>
        <v>3.5968493150684926E-14</v>
      </c>
      <c r="S60" s="83">
        <f t="shared" si="66"/>
        <v>3.5968493150684926E-14</v>
      </c>
      <c r="T60" s="79">
        <f>T$48*s_Aeq_Feq!$C26</f>
        <v>4.6199999999999998E-2</v>
      </c>
      <c r="U60" s="80">
        <f>IFERROR(T60*s_EFw*s_EDw*s_ETw*(1/24)*s_IRAw,".")</f>
        <v>317.62499999999994</v>
      </c>
      <c r="V60" s="81">
        <f>IFERROR(T60*s_EFw*(1/365)*s_EDw*s_ETw*(1/24)*s_GSFa,".")</f>
        <v>5.801369863013698E-2</v>
      </c>
      <c r="W60" s="80">
        <f>U60*s_isospec!$B26</f>
        <v>0</v>
      </c>
      <c r="X60" s="82">
        <f>V60*s_isospec!$C26</f>
        <v>7.1936986301369852E-10</v>
      </c>
      <c r="Y60" s="83">
        <f t="shared" si="70"/>
        <v>7.1936986301369852E-10</v>
      </c>
      <c r="Z60" s="79">
        <f>Z$48*s_Aeq_Feq!$C26</f>
        <v>4.0037268211864696E-4</v>
      </c>
      <c r="AA60" s="80">
        <f>IFERROR(Z60*s_EFw*s_EDw*s_ETw*(1/24)*s_IRAw,".")</f>
        <v>2.752562189565698</v>
      </c>
      <c r="AB60" s="81">
        <f>IFERROR(Z60*s_EFw*(1/365)*s_EDw*s_ETw*(1/24)*s_GSFa,".")</f>
        <v>5.027510848521822E-4</v>
      </c>
      <c r="AC60" s="80">
        <f>IFERROR(AA60*s_isospec!$B26,".")</f>
        <v>0</v>
      </c>
      <c r="AD60" s="82">
        <f>IFERROR(AB60*s_isospec!$C26,".")</f>
        <v>6.2341134521670593E-12</v>
      </c>
      <c r="AE60" s="83">
        <f t="shared" si="67"/>
        <v>6.2341134521670593E-12</v>
      </c>
      <c r="AF60" s="79">
        <f>AF$48*s_Aeq_Feq!$C26</f>
        <v>2.3099999999999999E-6</v>
      </c>
      <c r="AG60" s="80">
        <f>IFERROR(AF60*s_EFw*s_EDw*s_ETw*(1/24)*s_IRAw,".")</f>
        <v>1.5881249999999996E-2</v>
      </c>
      <c r="AH60" s="81">
        <f>IFERROR(AF60*s_EFw*(1/365)*s_EDw*s_ETw*(1/24)*s_GSFa,".")</f>
        <v>2.9006849315068489E-6</v>
      </c>
      <c r="AI60" s="80">
        <f>AG60*s_isospec!$B26</f>
        <v>0</v>
      </c>
      <c r="AJ60" s="82">
        <f>AH60*s_isospec!$C26</f>
        <v>3.5968493150684926E-14</v>
      </c>
      <c r="AK60" s="83">
        <f t="shared" si="68"/>
        <v>3.5968493150684926E-14</v>
      </c>
    </row>
    <row r="61" spans="1:37" x14ac:dyDescent="0.25">
      <c r="D61" s="56"/>
      <c r="E61" s="56"/>
    </row>
    <row r="62" spans="1:37" x14ac:dyDescent="0.25">
      <c r="D62" s="56"/>
      <c r="E62" s="56"/>
    </row>
    <row r="63" spans="1:37" x14ac:dyDescent="0.25">
      <c r="D63" s="56"/>
      <c r="E63" s="56"/>
    </row>
  </sheetData>
  <sheetProtection algorithmName="SHA-512" hashValue="krabFrTJSMe965OOY0u4xrEuzGpqSbNUDjyfw66U1wwt/ky708e4cq4BHfdV8IPZSmOd/yy9EvfurHUk/V42KA==" saltValue="7W4nyUwNxeZeWZ0MR4ryaA==" spinCount="100000" sheet="1" objects="1" scenarios="1"/>
  <mergeCells count="24">
    <mergeCell ref="K31:M31"/>
    <mergeCell ref="N31:N32"/>
    <mergeCell ref="O31:P31"/>
    <mergeCell ref="Q31:S31"/>
    <mergeCell ref="B30:G30"/>
    <mergeCell ref="H30:M30"/>
    <mergeCell ref="N30:S30"/>
    <mergeCell ref="C31:D31"/>
    <mergeCell ref="E31:G31"/>
    <mergeCell ref="B31:B32"/>
    <mergeCell ref="H31:H32"/>
    <mergeCell ref="I31:J31"/>
    <mergeCell ref="T30:Y30"/>
    <mergeCell ref="Z30:AE30"/>
    <mergeCell ref="AF30:AK30"/>
    <mergeCell ref="T31:T32"/>
    <mergeCell ref="U31:V31"/>
    <mergeCell ref="W31:Y31"/>
    <mergeCell ref="Z31:Z32"/>
    <mergeCell ref="AA31:AB31"/>
    <mergeCell ref="AC31:AE31"/>
    <mergeCell ref="AF31:AF32"/>
    <mergeCell ref="AG31:AH31"/>
    <mergeCell ref="AI31:AK3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6B2DCDDF9A8B4F835BB34FF09AE7D8" ma:contentTypeVersion="13" ma:contentTypeDescription="Create a new document." ma:contentTypeScope="" ma:versionID="00105e1a85c8f2fe2098ba33c1b19ec8">
  <xsd:schema xmlns:xsd="http://www.w3.org/2001/XMLSchema" xmlns:xs="http://www.w3.org/2001/XMLSchema" xmlns:p="http://schemas.microsoft.com/office/2006/metadata/properties" xmlns:ns1="http://schemas.microsoft.com/sharepoint/v3" xmlns:ns3="2ad7c4d5-d52b-4dd4-9949-5aa5be7183ba" xmlns:ns4="df40ffa5-5c70-4194-8066-4a475ad992e8" targetNamespace="http://schemas.microsoft.com/office/2006/metadata/properties" ma:root="true" ma:fieldsID="4930a99ead2e25909337a5295f8b5d42" ns1:_="" ns3:_="" ns4:_="">
    <xsd:import namespace="http://schemas.microsoft.com/sharepoint/v3"/>
    <xsd:import namespace="2ad7c4d5-d52b-4dd4-9949-5aa5be7183ba"/>
    <xsd:import namespace="df40ffa5-5c70-4194-8066-4a475ad992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d7c4d5-d52b-4dd4-9949-5aa5be7183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40ffa5-5c70-4194-8066-4a475ad992e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411A773-CA25-447F-86EE-27BDCB253768}">
  <ds:schemaRefs>
    <ds:schemaRef ds:uri="http://schemas.microsoft.com/sharepoint/v3/contenttype/forms"/>
  </ds:schemaRefs>
</ds:datastoreItem>
</file>

<file path=customXml/itemProps2.xml><?xml version="1.0" encoding="utf-8"?>
<ds:datastoreItem xmlns:ds="http://schemas.openxmlformats.org/officeDocument/2006/customXml" ds:itemID="{BB5DDEBD-6B93-4BD4-8FD8-A4F414D5B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d7c4d5-d52b-4dd4-9949-5aa5be7183ba"/>
    <ds:schemaRef ds:uri="df40ffa5-5c70-4194-8066-4a475ad992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2123A8-3C54-4F90-A841-7A02219B6BE7}">
  <ds:schemaRefs>
    <ds:schemaRef ds:uri="df40ffa5-5c70-4194-8066-4a475ad992e8"/>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2ad7c4d5-d52b-4dd4-9949-5aa5be7183b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72</vt:i4>
      </vt:variant>
    </vt:vector>
  </HeadingPairs>
  <TitlesOfParts>
    <vt:vector size="88" baseType="lpstr">
      <vt:lpstr>Instructions</vt:lpstr>
      <vt:lpstr>isospec</vt:lpstr>
      <vt:lpstr>s_isospec</vt:lpstr>
      <vt:lpstr>up_isospec</vt:lpstr>
      <vt:lpstr>Aeq_Feq</vt:lpstr>
      <vt:lpstr>s_Aeq_Feq</vt:lpstr>
      <vt:lpstr>exp</vt:lpstr>
      <vt:lpstr>risk</vt:lpstr>
      <vt:lpstr>ss_risk</vt:lpstr>
      <vt:lpstr>up_risk</vt:lpstr>
      <vt:lpstr>dose</vt:lpstr>
      <vt:lpstr>ss_dose</vt:lpstr>
      <vt:lpstr>up_dose</vt:lpstr>
      <vt:lpstr>wl</vt:lpstr>
      <vt:lpstr>ss_wl</vt:lpstr>
      <vt:lpstr>up_wl</vt:lpstr>
      <vt:lpstr>AAFres_a</vt:lpstr>
      <vt:lpstr>AAFres_c</vt:lpstr>
      <vt:lpstr>AFgw</vt:lpstr>
      <vt:lpstr>AFss</vt:lpstr>
      <vt:lpstr>Cia_219</vt:lpstr>
      <vt:lpstr>Cia_220</vt:lpstr>
      <vt:lpstr>Cia_222</vt:lpstr>
      <vt:lpstr>Cia_sg_220</vt:lpstr>
      <vt:lpstr>Cia_sg_222</vt:lpstr>
      <vt:lpstr>Csg_219</vt:lpstr>
      <vt:lpstr>Csg_220</vt:lpstr>
      <vt:lpstr>Csg_222</vt:lpstr>
      <vt:lpstr>DL</vt:lpstr>
      <vt:lpstr>EDres</vt:lpstr>
      <vt:lpstr>EDres_a</vt:lpstr>
      <vt:lpstr>EDres_c</vt:lpstr>
      <vt:lpstr>EDw</vt:lpstr>
      <vt:lpstr>EFres</vt:lpstr>
      <vt:lpstr>EFres_a</vt:lpstr>
      <vt:lpstr>EFres_c</vt:lpstr>
      <vt:lpstr>EFw</vt:lpstr>
      <vt:lpstr>ETres</vt:lpstr>
      <vt:lpstr>ETres_a</vt:lpstr>
      <vt:lpstr>ETres_c</vt:lpstr>
      <vt:lpstr>ETw</vt:lpstr>
      <vt:lpstr>GSFa</vt:lpstr>
      <vt:lpstr>IFAres_adj</vt:lpstr>
      <vt:lpstr>IFAres_adj_d</vt:lpstr>
      <vt:lpstr>IRAres_a</vt:lpstr>
      <vt:lpstr>IRAres_c</vt:lpstr>
      <vt:lpstr>IRAw</vt:lpstr>
      <vt:lpstr>s_AAFres_a</vt:lpstr>
      <vt:lpstr>s_AAFres_c</vt:lpstr>
      <vt:lpstr>s_AFgw</vt:lpstr>
      <vt:lpstr>s_AFss</vt:lpstr>
      <vt:lpstr>s_Cia_219</vt:lpstr>
      <vt:lpstr>s_Cia_220</vt:lpstr>
      <vt:lpstr>s_Cia_222</vt:lpstr>
      <vt:lpstr>s_Csg_219</vt:lpstr>
      <vt:lpstr>s_Csg_220</vt:lpstr>
      <vt:lpstr>s_Csg_222</vt:lpstr>
      <vt:lpstr>s_DL</vt:lpstr>
      <vt:lpstr>s_EDres</vt:lpstr>
      <vt:lpstr>s_EDres_a</vt:lpstr>
      <vt:lpstr>s_EDres_c</vt:lpstr>
      <vt:lpstr>s_EDw</vt:lpstr>
      <vt:lpstr>s_EFres</vt:lpstr>
      <vt:lpstr>s_EFres_a</vt:lpstr>
      <vt:lpstr>s_EFres_c</vt:lpstr>
      <vt:lpstr>s_EFw</vt:lpstr>
      <vt:lpstr>s_ETres</vt:lpstr>
      <vt:lpstr>s_ETres_a</vt:lpstr>
      <vt:lpstr>s_ETres_c</vt:lpstr>
      <vt:lpstr>s_ETw</vt:lpstr>
      <vt:lpstr>s_GSFa</vt:lpstr>
      <vt:lpstr>s_IFAres_adj</vt:lpstr>
      <vt:lpstr>s_IFAres_adj_d</vt:lpstr>
      <vt:lpstr>s_IRAres_a</vt:lpstr>
      <vt:lpstr>s_IRAres_c</vt:lpstr>
      <vt:lpstr>s_IRAw</vt:lpstr>
      <vt:lpstr>s_Tgw</vt:lpstr>
      <vt:lpstr>s_TgwK</vt:lpstr>
      <vt:lpstr>s_TR</vt:lpstr>
      <vt:lpstr>s_tres</vt:lpstr>
      <vt:lpstr>s_tw</vt:lpstr>
      <vt:lpstr>s_WL</vt:lpstr>
      <vt:lpstr>Tgw</vt:lpstr>
      <vt:lpstr>TgwK</vt:lpstr>
      <vt:lpstr>TR</vt:lpstr>
      <vt:lpstr>tres</vt:lpstr>
      <vt:lpstr>tw</vt:lpstr>
      <vt:lpstr>WL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 L.</cp:lastModifiedBy>
  <dcterms:created xsi:type="dcterms:W3CDTF">2016-08-02T17:02:48Z</dcterms:created>
  <dcterms:modified xsi:type="dcterms:W3CDTF">2020-12-11T16:22:53Z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0x0101003C6B2DCDDF9A8B4F835BB34FF09AE7D8</vt:lpwstr>
  </property>
</Properties>
</file>